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452" yWindow="-108" windowWidth="14988" windowHeight="12096" tabRatio="885"/>
  </bookViews>
  <sheets>
    <sheet name="Index" sheetId="38" r:id="rId1"/>
    <sheet name="WP 1" sheetId="31" r:id="rId2"/>
    <sheet name="WP 2" sheetId="6" r:id="rId3"/>
    <sheet name="WP 3" sheetId="4" r:id="rId4"/>
    <sheet name="WP 4" sheetId="20" r:id="rId5"/>
    <sheet name="WP 5" sheetId="13" r:id="rId6"/>
    <sheet name="WP 6" sheetId="2" r:id="rId7"/>
    <sheet name="WP 7" sheetId="7" r:id="rId8"/>
    <sheet name="WP 8" sheetId="1" r:id="rId9"/>
    <sheet name="WP 8a" sheetId="34" r:id="rId10"/>
    <sheet name="WP 9" sheetId="21" r:id="rId11"/>
    <sheet name="WP 10" sheetId="35" r:id="rId12"/>
    <sheet name="WP 10a" sheetId="37" r:id="rId13"/>
    <sheet name="WP 11" sheetId="12" r:id="rId14"/>
    <sheet name="WP 12" sheetId="5" r:id="rId15"/>
    <sheet name="WP 13" sheetId="14" r:id="rId16"/>
    <sheet name="WP 13a" sheetId="36" r:id="rId17"/>
    <sheet name="WP 14" sheetId="24" r:id="rId18"/>
    <sheet name="WP 15" sheetId="25" r:id="rId19"/>
    <sheet name="WP 16" sheetId="30" r:id="rId20"/>
    <sheet name="WP 17" sheetId="27" r:id="rId21"/>
  </sheets>
  <definedNames>
    <definedName name="__123Graph_B" localSheetId="16" hidden="1">#REF!</definedName>
    <definedName name="__123Graph_B" hidden="1">#REF!</definedName>
    <definedName name="__tet12" localSheetId="16" hidden="1">{"assumptions",#N/A,FALSE,"Scenario 1";"valuation",#N/A,FALSE,"Scenario 1"}</definedName>
    <definedName name="__tet12" hidden="1">{"assumptions",#N/A,FALSE,"Scenario 1";"valuation",#N/A,FALSE,"Scenario 1"}</definedName>
    <definedName name="__tet5" localSheetId="16" hidden="1">{"assumptions",#N/A,FALSE,"Scenario 1";"valuation",#N/A,FALSE,"Scenario 1"}</definedName>
    <definedName name="__tet5" hidden="1">{"assumptions",#N/A,FALSE,"Scenario 1";"valuation",#N/A,FALSE,"Scenario 1"}</definedName>
    <definedName name="_Dist_Bin" localSheetId="13" hidden="1">#REF!</definedName>
    <definedName name="_Dist_Bin" localSheetId="15" hidden="1">#REF!</definedName>
    <definedName name="_Dist_Bin" localSheetId="16" hidden="1">#REF!</definedName>
    <definedName name="_Dist_Bin" localSheetId="2" hidden="1">#REF!</definedName>
    <definedName name="_Dist_Bin" localSheetId="3" hidden="1">#REF!</definedName>
    <definedName name="_Dist_Bin" localSheetId="7" hidden="1">#REF!</definedName>
    <definedName name="_Dist_Bin" localSheetId="10" hidden="1">#REF!</definedName>
    <definedName name="_Dist_Bin" hidden="1">#REF!</definedName>
    <definedName name="_Dist_Values" localSheetId="13" hidden="1">#REF!</definedName>
    <definedName name="_Dist_Values" localSheetId="15" hidden="1">#REF!</definedName>
    <definedName name="_Dist_Values" localSheetId="16" hidden="1">#REF!</definedName>
    <definedName name="_Dist_Values" localSheetId="2" hidden="1">#REF!</definedName>
    <definedName name="_Dist_Values" localSheetId="3" hidden="1">#REF!</definedName>
    <definedName name="_Dist_Values" localSheetId="7" hidden="1">#REF!</definedName>
    <definedName name="_Dist_Values" localSheetId="10" hidden="1">#REF!</definedName>
    <definedName name="_Dist_Values" hidden="1">#REF!</definedName>
    <definedName name="_Fill" localSheetId="13" hidden="1">#REF!</definedName>
    <definedName name="_Fill" localSheetId="15" hidden="1">#REF!</definedName>
    <definedName name="_Fill" localSheetId="16" hidden="1">#REF!</definedName>
    <definedName name="_Fill" localSheetId="2" hidden="1">#REF!</definedName>
    <definedName name="_Fill" localSheetId="3" hidden="1">#REF!</definedName>
    <definedName name="_Fill" localSheetId="7" hidden="1">#REF!</definedName>
    <definedName name="_Fill" localSheetId="10" hidden="1">#REF!</definedName>
    <definedName name="_Fill" hidden="1">#REF!</definedName>
    <definedName name="_Key1" localSheetId="13" hidden="1">#REF!</definedName>
    <definedName name="_Key1" localSheetId="15" hidden="1">#REF!</definedName>
    <definedName name="_Key1" localSheetId="16" hidden="1">#REF!</definedName>
    <definedName name="_Key1" localSheetId="10" hidden="1">#REF!</definedName>
    <definedName name="_Key1" hidden="1">#REF!</definedName>
    <definedName name="_MatInverse_In" localSheetId="13" hidden="1">#REF!</definedName>
    <definedName name="_MatInverse_In" localSheetId="16" hidden="1">#REF!</definedName>
    <definedName name="_MatInverse_In" localSheetId="10" hidden="1">#REF!</definedName>
    <definedName name="_MatInverse_In" hidden="1">#REF!</definedName>
    <definedName name="_MatInverse_Out" localSheetId="13" hidden="1">#REF!</definedName>
    <definedName name="_MatInverse_Out" localSheetId="16" hidden="1">#REF!</definedName>
    <definedName name="_MatInverse_Out" localSheetId="10" hidden="1">#REF!</definedName>
    <definedName name="_MatInverse_Out" hidden="1">#REF!</definedName>
    <definedName name="_MatMult_A" localSheetId="13" hidden="1">#REF!</definedName>
    <definedName name="_MatMult_A" localSheetId="16" hidden="1">#REF!</definedName>
    <definedName name="_MatMult_A" localSheetId="10" hidden="1">#REF!</definedName>
    <definedName name="_MatMult_A" hidden="1">#REF!</definedName>
    <definedName name="_MatMult_AxB" localSheetId="13" hidden="1">#REF!</definedName>
    <definedName name="_MatMult_AxB" localSheetId="16" hidden="1">#REF!</definedName>
    <definedName name="_MatMult_AxB" localSheetId="10" hidden="1">#REF!</definedName>
    <definedName name="_MatMult_AxB" hidden="1">#REF!</definedName>
    <definedName name="_MatMult_B" localSheetId="13" hidden="1">#REF!</definedName>
    <definedName name="_MatMult_B" localSheetId="16" hidden="1">#REF!</definedName>
    <definedName name="_MatMult_B" localSheetId="10" hidden="1">#REF!</definedName>
    <definedName name="_MatMult_B" hidden="1">#REF!</definedName>
    <definedName name="_Order1" hidden="1">255</definedName>
    <definedName name="_Order2" hidden="1">255</definedName>
    <definedName name="_Parse_In" localSheetId="13" hidden="1">#REF!</definedName>
    <definedName name="_Parse_In" localSheetId="15" hidden="1">#REF!</definedName>
    <definedName name="_Parse_In" localSheetId="16" hidden="1">#REF!</definedName>
    <definedName name="_Parse_In" localSheetId="5" hidden="1">#REF!</definedName>
    <definedName name="_Parse_In" localSheetId="10" hidden="1">#REF!</definedName>
    <definedName name="_Parse_In" hidden="1">#REF!</definedName>
    <definedName name="_Parse_Out" localSheetId="13" hidden="1">#REF!</definedName>
    <definedName name="_Parse_Out" localSheetId="16" hidden="1">#REF!</definedName>
    <definedName name="_Parse_Out" localSheetId="5" hidden="1">#REF!</definedName>
    <definedName name="_Parse_Out" localSheetId="10" hidden="1">#REF!</definedName>
    <definedName name="_Parse_Out" hidden="1">#REF!</definedName>
    <definedName name="_Regression_Out" localSheetId="13" hidden="1">#REF!</definedName>
    <definedName name="_Regression_Out" localSheetId="16" hidden="1">#REF!</definedName>
    <definedName name="_Regression_Out" localSheetId="5" hidden="1">#REF!</definedName>
    <definedName name="_Regression_Out" localSheetId="10" hidden="1">#REF!</definedName>
    <definedName name="_Regression_Out" hidden="1">#REF!</definedName>
    <definedName name="_Regression_X" localSheetId="13" hidden="1">#REF!</definedName>
    <definedName name="_Regression_X" localSheetId="16" hidden="1">#REF!</definedName>
    <definedName name="_Regression_X" localSheetId="10" hidden="1">#REF!</definedName>
    <definedName name="_Regression_X" hidden="1">#REF!</definedName>
    <definedName name="_Regression_Y" localSheetId="13" hidden="1">#REF!</definedName>
    <definedName name="_Regression_Y" localSheetId="16" hidden="1">#REF!</definedName>
    <definedName name="_Regression_Y" localSheetId="10" hidden="1">#REF!</definedName>
    <definedName name="_Regression_Y" hidden="1">#REF!</definedName>
    <definedName name="_Sort" localSheetId="1" hidden="1">#REF!</definedName>
    <definedName name="_Sort" localSheetId="13" hidden="1">#REF!</definedName>
    <definedName name="_Sort" localSheetId="16" hidden="1">#REF!</definedName>
    <definedName name="_Sort" localSheetId="10" hidden="1">#REF!</definedName>
    <definedName name="_Sort" hidden="1">#REF!</definedName>
    <definedName name="_Table1_Out" localSheetId="13" hidden="1">#REF!</definedName>
    <definedName name="_Table1_Out" localSheetId="16" hidden="1">#REF!</definedName>
    <definedName name="_Table1_Out" localSheetId="10" hidden="1">#REF!</definedName>
    <definedName name="_Table1_Out" hidden="1">#REF!</definedName>
    <definedName name="_tet12" localSheetId="16" hidden="1">{"assumptions",#N/A,FALSE,"Scenario 1";"valuation",#N/A,FALSE,"Scenario 1"}</definedName>
    <definedName name="_tet12" hidden="1">{"assumptions",#N/A,FALSE,"Scenario 1";"valuation",#N/A,FALSE,"Scenario 1"}</definedName>
    <definedName name="_tet5" localSheetId="16" hidden="1">{"assumptions",#N/A,FALSE,"Scenario 1";"valuation",#N/A,FALSE,"Scenario 1"}</definedName>
    <definedName name="_tet5" hidden="1">{"assumptions",#N/A,FALSE,"Scenario 1";"valuation",#N/A,FALSE,"Scenario 1"}</definedName>
    <definedName name="a" localSheetId="16" hidden="1">{"LBO Summary",#N/A,FALSE,"Summary"}</definedName>
    <definedName name="a" hidden="1">{"LBO Summary",#N/A,FALSE,"Summary"}</definedName>
    <definedName name="AS2DocOpenMode" hidden="1">"AS2DocumentEdit"</definedName>
    <definedName name="gIsBlank" localSheetId="13" hidden="1">ISBLANK(gIsRef)</definedName>
    <definedName name="gIsBlank" localSheetId="15" hidden="1">ISBLANK(gIsRef)</definedName>
    <definedName name="gIsBlank" localSheetId="16" hidden="1">ISBLANK(gIsRef)</definedName>
    <definedName name="gIsBlank" localSheetId="17" hidden="1">ISBLANK(gIsRef)</definedName>
    <definedName name="gIsBlank" localSheetId="2" hidden="1">ISBLANK(gIsRef)</definedName>
    <definedName name="gIsBlank" localSheetId="3" hidden="1">ISBLANK(gIsRef)</definedName>
    <definedName name="gIsBlank" localSheetId="4" hidden="1">ISBLANK(gIsRef)</definedName>
    <definedName name="gIsBlank" localSheetId="5" hidden="1">ISBLANK(gIsRef)</definedName>
    <definedName name="gIsBlank" localSheetId="7" hidden="1">ISBLANK(gIsRef)</definedName>
    <definedName name="gIsBlank" localSheetId="10" hidden="1">ISBLANK(gIsRef)</definedName>
    <definedName name="gIsBlank" hidden="1">ISBLANK(gIsRef)</definedName>
    <definedName name="gIsError" localSheetId="13" hidden="1">ISERROR(gIsRef)</definedName>
    <definedName name="gIsError" localSheetId="15" hidden="1">ISERROR(gIsRef)</definedName>
    <definedName name="gIsError" localSheetId="16" hidden="1">ISERROR(gIsRef)</definedName>
    <definedName name="gIsError" localSheetId="17" hidden="1">ISERROR(gIsRef)</definedName>
    <definedName name="gIsError" localSheetId="2" hidden="1">ISERROR(gIsRef)</definedName>
    <definedName name="gIsError" localSheetId="3" hidden="1">ISERROR(gIsRef)</definedName>
    <definedName name="gIsError" localSheetId="4" hidden="1">ISERROR(gIsRef)</definedName>
    <definedName name="gIsError" localSheetId="5" hidden="1">ISERROR(gIsRef)</definedName>
    <definedName name="gIsError" localSheetId="7" hidden="1">ISERROR(gIsRef)</definedName>
    <definedName name="gIsError" localSheetId="10" hidden="1">ISERROR(gIsRef)</definedName>
    <definedName name="gIsError" hidden="1">ISERROR(gIsRef)</definedName>
    <definedName name="gIsInPrintArea" localSheetId="13" hidden="1">NOT(ISERROR(gIsRef !Print_Area))</definedName>
    <definedName name="gIsInPrintArea" localSheetId="15" hidden="1">NOT(ISERROR(gIsRef !Print_Area))</definedName>
    <definedName name="gIsInPrintArea" localSheetId="16" hidden="1">NOT(ISERROR(gIsRef !Print_Area))</definedName>
    <definedName name="gIsInPrintArea" localSheetId="17" hidden="1">NOT(ISERROR(gIsRef !Print_Area))</definedName>
    <definedName name="gIsInPrintArea" localSheetId="2" hidden="1">NOT(ISERROR(gIsRef !Print_Area))</definedName>
    <definedName name="gIsInPrintArea" localSheetId="3" hidden="1">NOT(ISERROR(gIsRef !Print_Area))</definedName>
    <definedName name="gIsInPrintArea" localSheetId="4" hidden="1">NOT(ISERROR(gIsRef !Print_Area))</definedName>
    <definedName name="gIsInPrintArea" localSheetId="5" hidden="1">NOT(ISERROR(gIsRef !Print_Area))</definedName>
    <definedName name="gIsInPrintArea" localSheetId="7" hidden="1">NOT(ISERROR(gIsRef !Print_Area))</definedName>
    <definedName name="gIsInPrintArea" localSheetId="10" hidden="1">NOT(ISERROR(gIsRef !Print_Area))</definedName>
    <definedName name="gIsInPrintArea" hidden="1">NOT(ISERROR(gIsRef !Print_Area))</definedName>
    <definedName name="gIsInPrintTitles" localSheetId="13" hidden="1">NOT(ISERROR(gIsRef !Print_Titles))</definedName>
    <definedName name="gIsInPrintTitles" localSheetId="15" hidden="1">NOT(ISERROR(gIsRef !Print_Titles))</definedName>
    <definedName name="gIsInPrintTitles" localSheetId="16" hidden="1">NOT(ISERROR(gIsRef !Print_Titles))</definedName>
    <definedName name="gIsInPrintTitles" localSheetId="17" hidden="1">NOT(ISERROR(gIsRef !Print_Titles))</definedName>
    <definedName name="gIsInPrintTitles" localSheetId="2" hidden="1">NOT(ISERROR(gIsRef !Print_Titles))</definedName>
    <definedName name="gIsInPrintTitles" localSheetId="3" hidden="1">NOT(ISERROR(gIsRef !Print_Titles))</definedName>
    <definedName name="gIsInPrintTitles" localSheetId="4" hidden="1">NOT(ISERROR(gIsRef !Print_Titles))</definedName>
    <definedName name="gIsInPrintTitles" localSheetId="5" hidden="1">NOT(ISERROR(gIsRef !Print_Titles))</definedName>
    <definedName name="gIsInPrintTitles" localSheetId="7" hidden="1">NOT(ISERROR(gIsRef !Print_Titles))</definedName>
    <definedName name="gIsInPrintTitles" localSheetId="10" hidden="1">NOT(ISERROR(gIsRef !Print_Titles))</definedName>
    <definedName name="gIsInPrintTitles" hidden="1">NOT(ISERROR(gIsRef !Print_Titles))</definedName>
    <definedName name="gIsNumber" localSheetId="13" hidden="1">ISNUMBER(gIsRef)</definedName>
    <definedName name="gIsNumber" localSheetId="15" hidden="1">ISNUMBER(gIsRef)</definedName>
    <definedName name="gIsNumber" localSheetId="16" hidden="1">ISNUMBER(gIsRef)</definedName>
    <definedName name="gIsNumber" localSheetId="17" hidden="1">ISNUMBER(gIsRef)</definedName>
    <definedName name="gIsNumber" localSheetId="2" hidden="1">ISNUMBER(gIsRef)</definedName>
    <definedName name="gIsNumber" localSheetId="3" hidden="1">ISNUMBER(gIsRef)</definedName>
    <definedName name="gIsNumber" localSheetId="4" hidden="1">ISNUMBER(gIsRef)</definedName>
    <definedName name="gIsNumber" localSheetId="5" hidden="1">ISNUMBER(gIsRef)</definedName>
    <definedName name="gIsNumber" localSheetId="7" hidden="1">ISNUMBER(gIsRef)</definedName>
    <definedName name="gIsNumber" localSheetId="10" hidden="1">ISNUMBER(gIsRef)</definedName>
    <definedName name="gIsNumber" hidden="1">ISNUMBER(gIsRef)</definedName>
    <definedName name="gIsPreviousSheet" localSheetId="13" hidden="1">PrevShtCellValue(gIsRef)&lt;&gt;gIsRef</definedName>
    <definedName name="gIsPreviousSheet" localSheetId="15" hidden="1">PrevShtCellValue(gIsRef)&lt;&gt;gIsRef</definedName>
    <definedName name="gIsPreviousSheet" localSheetId="16" hidden="1">PrevShtCellValue(gIsRef)&lt;&gt;gIsRef</definedName>
    <definedName name="gIsPreviousSheet" localSheetId="17" hidden="1">PrevShtCellValue(gIsRef)&lt;&gt;gIsRef</definedName>
    <definedName name="gIsPreviousSheet" localSheetId="2" hidden="1">PrevShtCellValue(gIsRef)&lt;&gt;gIsRef</definedName>
    <definedName name="gIsPreviousSheet" localSheetId="3" hidden="1">PrevShtCellValue(gIsRef)&lt;&gt;gIsRef</definedName>
    <definedName name="gIsPreviousSheet" localSheetId="4" hidden="1">PrevShtCellValue(gIsRef)&lt;&gt;gIsRef</definedName>
    <definedName name="gIsPreviousSheet" localSheetId="5" hidden="1">PrevShtCellValue(gIsRef)&lt;&gt;gIsRef</definedName>
    <definedName name="gIsPreviousSheet" localSheetId="7" hidden="1">PrevShtCellValue(gIsRef)&lt;&gt;gIsRef</definedName>
    <definedName name="gIsPreviousSheet" localSheetId="10" hidden="1">PrevShtCellValue(gIsRef)&lt;&gt;gIsRef</definedName>
    <definedName name="gIsPreviousSheet" hidden="1">PrevShtCellValue(gIsRef)&lt;&gt;gIsRef</definedName>
    <definedName name="gIsRef" hidden="1">INDIRECT("rc",FALSE)</definedName>
    <definedName name="gIsText" localSheetId="13" hidden="1">ISTEXT(gIsRef)</definedName>
    <definedName name="gIsText" localSheetId="15" hidden="1">ISTEXT(gIsRef)</definedName>
    <definedName name="gIsText" localSheetId="16" hidden="1">ISTEXT(gIsRef)</definedName>
    <definedName name="gIsText" localSheetId="17" hidden="1">ISTEXT(gIsRef)</definedName>
    <definedName name="gIsText" localSheetId="2" hidden="1">ISTEXT(gIsRef)</definedName>
    <definedName name="gIsText" localSheetId="3" hidden="1">ISTEXT(gIsRef)</definedName>
    <definedName name="gIsText" localSheetId="4" hidden="1">ISTEXT(gIsRef)</definedName>
    <definedName name="gIsText" localSheetId="5" hidden="1">ISTEXT(gIsRef)</definedName>
    <definedName name="gIsText" localSheetId="7" hidden="1">ISTEXT(gIsRef)</definedName>
    <definedName name="gIsText" localSheetId="10" hidden="1">ISTEXT(gIsRef)</definedName>
    <definedName name="gIsText" hidden="1">ISTEXT(gIsRef)</definedName>
    <definedName name="_xlnm.Print_Area" localSheetId="1">'WP 1'!$A$1:$D$300</definedName>
    <definedName name="_xlnm.Print_Area" localSheetId="11">'WP 10'!$A$1:$Q$30</definedName>
    <definedName name="_xlnm.Print_Area" localSheetId="12">'WP 10a'!$A$1:$N$33</definedName>
    <definedName name="_xlnm.Print_Area" localSheetId="15">'WP 13'!$A$1:$E$33</definedName>
    <definedName name="_xlnm.Print_Area" localSheetId="16">'WP 13a'!$A$1:$C$39</definedName>
    <definedName name="_xlnm.Print_Area" localSheetId="9">'WP 8a'!$A$1:$H$44</definedName>
    <definedName name="test" localSheetId="16" hidden="1">{"LBO Summary",#N/A,FALSE,"Summary"}</definedName>
    <definedName name="test" hidden="1">{"LBO Summary",#N/A,FALSE,"Summary"}</definedName>
    <definedName name="test1" localSheetId="16"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6"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6" hidden="1">{"LBO Summary",#N/A,FALSE,"Summary"}</definedName>
    <definedName name="test11" hidden="1">{"LBO Summary",#N/A,FALSE,"Summary"}</definedName>
    <definedName name="test12" localSheetId="16" hidden="1">{"assumptions",#N/A,FALSE,"Scenario 1";"valuation",#N/A,FALSE,"Scenario 1"}</definedName>
    <definedName name="test12" hidden="1">{"assumptions",#N/A,FALSE,"Scenario 1";"valuation",#N/A,FALSE,"Scenario 1"}</definedName>
    <definedName name="test13" localSheetId="16" hidden="1">{"LBO Summary",#N/A,FALSE,"Summary"}</definedName>
    <definedName name="test13" hidden="1">{"LBO Summary",#N/A,FALSE,"Summary"}</definedName>
    <definedName name="test14" localSheetId="16"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6"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6"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6" hidden="1">{"LBO Summary",#N/A,FALSE,"Summary"}</definedName>
    <definedName name="test2" hidden="1">{"LBO Summary",#N/A,FALSE,"Summary"}</definedName>
    <definedName name="test4" localSheetId="16" hidden="1">{"assumptions",#N/A,FALSE,"Scenario 1";"valuation",#N/A,FALSE,"Scenario 1"}</definedName>
    <definedName name="test4" hidden="1">{"assumptions",#N/A,FALSE,"Scenario 1";"valuation",#N/A,FALSE,"Scenario 1"}</definedName>
    <definedName name="test6" localSheetId="16" hidden="1">{"LBO Summary",#N/A,FALSE,"Summary"}</definedName>
    <definedName name="test6" hidden="1">{"LBO Summary",#N/A,FALSE,"Summary"}</definedName>
    <definedName name="TextRefCopyRangeCount" hidden="1">1</definedName>
    <definedName name="Value" localSheetId="16" hidden="1">{"assumptions",#N/A,FALSE,"Scenario 1";"valuation",#N/A,FALSE,"Scenario 1"}</definedName>
    <definedName name="Value" hidden="1">{"assumptions",#N/A,FALSE,"Scenario 1";"valuation",#N/A,FALSE,"Scenario 1"}</definedName>
    <definedName name="wrn.ARKANSAS." localSheetId="13" hidden="1">{#N/A,#N/A,FALSE,"LOCAL.XLS"}</definedName>
    <definedName name="wrn.ARKANSAS." localSheetId="15" hidden="1">{#N/A,#N/A,FALSE,"LOCAL.XLS"}</definedName>
    <definedName name="wrn.ARKANSAS." localSheetId="16" hidden="1">{#N/A,#N/A,FALSE,"LOCAL.XLS"}</definedName>
    <definedName name="wrn.ARKANSAS." localSheetId="17" hidden="1">{#N/A,#N/A,FALSE,"LOCAL.XLS"}</definedName>
    <definedName name="wrn.ARKANSAS." localSheetId="2" hidden="1">{#N/A,#N/A,FALSE,"LOCAL.XLS"}</definedName>
    <definedName name="wrn.ARKANSAS." localSheetId="3" hidden="1">{#N/A,#N/A,FALSE,"LOCAL.XLS"}</definedName>
    <definedName name="wrn.ARKANSAS." localSheetId="4" hidden="1">{#N/A,#N/A,FALSE,"LOCAL.XLS"}</definedName>
    <definedName name="wrn.ARKANSAS." localSheetId="5" hidden="1">{#N/A,#N/A,FALSE,"LOCAL.XLS"}</definedName>
    <definedName name="wrn.ARKANSAS." localSheetId="7" hidden="1">{#N/A,#N/A,FALSE,"LOCAL.XLS"}</definedName>
    <definedName name="wrn.ARKANSAS." localSheetId="10" hidden="1">{#N/A,#N/A,FALSE,"LOCAL.XLS"}</definedName>
    <definedName name="wrn.ARKANSAS." hidden="1">{#N/A,#N/A,FALSE,"LOCAL.XLS"}</definedName>
    <definedName name="wrn.IPO._.Valuation." localSheetId="16" hidden="1">{"assumptions",#N/A,FALSE,"Scenario 1";"valuation",#N/A,FALSE,"Scenario 1"}</definedName>
    <definedName name="wrn.IPO._.Valuation." hidden="1">{"assumptions",#N/A,FALSE,"Scenario 1";"valuation",#N/A,FALSE,"Scenario 1"}</definedName>
    <definedName name="wrn.LBO._.Summary." localSheetId="16" hidden="1">{"LBO Summary",#N/A,FALSE,"Summary"}</definedName>
    <definedName name="wrn.LBO._.Summary." hidden="1">{"LBO Summary",#N/A,FALSE,"Summary"}</definedName>
    <definedName name="wrn.LOUISIANA." localSheetId="13" hidden="1">{#N/A,#N/A,FALSE,"LOCAL.XLS"}</definedName>
    <definedName name="wrn.LOUISIANA." localSheetId="15" hidden="1">{#N/A,#N/A,FALSE,"LOCAL.XLS"}</definedName>
    <definedName name="wrn.LOUISIANA." localSheetId="16" hidden="1">{#N/A,#N/A,FALSE,"LOCAL.XLS"}</definedName>
    <definedName name="wrn.LOUISIANA." localSheetId="17" hidden="1">{#N/A,#N/A,FALSE,"LOCAL.XLS"}</definedName>
    <definedName name="wrn.LOUISIANA." localSheetId="2" hidden="1">{#N/A,#N/A,FALSE,"LOCAL.XLS"}</definedName>
    <definedName name="wrn.LOUISIANA." localSheetId="3" hidden="1">{#N/A,#N/A,FALSE,"LOCAL.XLS"}</definedName>
    <definedName name="wrn.LOUISIANA." localSheetId="4" hidden="1">{#N/A,#N/A,FALSE,"LOCAL.XLS"}</definedName>
    <definedName name="wrn.LOUISIANA." localSheetId="5" hidden="1">{#N/A,#N/A,FALSE,"LOCAL.XLS"}</definedName>
    <definedName name="wrn.LOUISIANA." localSheetId="7" hidden="1">{#N/A,#N/A,FALSE,"LOCAL.XLS"}</definedName>
    <definedName name="wrn.LOUISIANA." localSheetId="10" hidden="1">{#N/A,#N/A,FALSE,"LOCAL.XLS"}</definedName>
    <definedName name="wrn.LOUISIANA." hidden="1">{#N/A,#N/A,FALSE,"LOCAL.XLS"}</definedName>
    <definedName name="wrn.Print._.All._.Pages." localSheetId="16"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localSheetId="16"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ummary." localSheetId="11" hidden="1">{#N/A,#N/A,FALSE,"AP&amp;L"}</definedName>
    <definedName name="wrn.summary." localSheetId="13" hidden="1">{#N/A,#N/A,FALSE,"AP&amp;L"}</definedName>
    <definedName name="wrn.summary." localSheetId="15" hidden="1">{#N/A,#N/A,FALSE,"AP&amp;L"}</definedName>
    <definedName name="wrn.summary." localSheetId="16" hidden="1">{#N/A,#N/A,FALSE,"AP&amp;L"}</definedName>
    <definedName name="wrn.summary." localSheetId="17" hidden="1">{#N/A,#N/A,FALSE,"AP&amp;L"}</definedName>
    <definedName name="wrn.summary." localSheetId="2" hidden="1">{#N/A,#N/A,FALSE,"AP&amp;L"}</definedName>
    <definedName name="wrn.summary." localSheetId="3" hidden="1">{#N/A,#N/A,FALSE,"AP&amp;L"}</definedName>
    <definedName name="wrn.summary." localSheetId="4" hidden="1">{#N/A,#N/A,FALSE,"AP&amp;L"}</definedName>
    <definedName name="wrn.summary." localSheetId="5" hidden="1">{#N/A,#N/A,FALSE,"AP&amp;L"}</definedName>
    <definedName name="wrn.summary." localSheetId="7" hidden="1">{#N/A,#N/A,FALSE,"AP&amp;L"}</definedName>
    <definedName name="wrn.summary." localSheetId="8" hidden="1">{#N/A,#N/A,FALSE,"AP&amp;L"}</definedName>
    <definedName name="wrn.summary." localSheetId="10" hidden="1">{#N/A,#N/A,FALSE,"AP&amp;L"}</definedName>
    <definedName name="wrn.summary." hidden="1">{#N/A,#N/A,FALSE,"AP&amp;L"}</definedName>
  </definedNames>
  <calcPr calcId="145621" iterate="1" iterateDelta="0.01" calcOnSave="0" concurrentCalc="0"/>
</workbook>
</file>

<file path=xl/calcChain.xml><?xml version="1.0" encoding="utf-8"?>
<calcChain xmlns="http://schemas.openxmlformats.org/spreadsheetml/2006/main">
  <c r="A3" i="38" l="1"/>
  <c r="E12" i="14"/>
  <c r="E17" i="14"/>
  <c r="E19" i="14"/>
  <c r="E22" i="14"/>
  <c r="E25" i="14"/>
  <c r="E29" i="14"/>
  <c r="E30" i="14"/>
  <c r="E32" i="14"/>
  <c r="D186" i="31"/>
  <c r="O7" i="35"/>
  <c r="N7" i="35"/>
  <c r="N22" i="35"/>
  <c r="M9" i="35"/>
  <c r="O9" i="35"/>
  <c r="P9" i="35"/>
  <c r="Q9" i="35"/>
  <c r="O10" i="35"/>
  <c r="O11" i="35"/>
  <c r="O12" i="35"/>
  <c r="O13" i="35"/>
  <c r="O14" i="35"/>
  <c r="O15" i="35"/>
  <c r="O16" i="35"/>
  <c r="O17" i="35"/>
  <c r="O18" i="35"/>
  <c r="O19" i="35"/>
  <c r="O20" i="35"/>
  <c r="O22" i="35"/>
  <c r="P10" i="35"/>
  <c r="P11" i="35"/>
  <c r="P12" i="35"/>
  <c r="P13" i="35"/>
  <c r="P14" i="35"/>
  <c r="P15" i="35"/>
  <c r="P16" i="35"/>
  <c r="P17" i="35"/>
  <c r="P18" i="35"/>
  <c r="P19" i="35"/>
  <c r="P20" i="35"/>
  <c r="M10" i="35"/>
  <c r="Q10" i="35"/>
  <c r="M11" i="35"/>
  <c r="Q11" i="35"/>
  <c r="M12" i="35"/>
  <c r="Q12" i="35"/>
  <c r="M13" i="35"/>
  <c r="Q13" i="35"/>
  <c r="M14" i="35"/>
  <c r="Q14" i="35"/>
  <c r="M15" i="35"/>
  <c r="Q15" i="35"/>
  <c r="M16" i="35"/>
  <c r="Q16" i="35"/>
  <c r="M17" i="35"/>
  <c r="Q17" i="35"/>
  <c r="M18" i="35"/>
  <c r="Q18" i="35"/>
  <c r="M19" i="35"/>
  <c r="Q19" i="35"/>
  <c r="M20" i="35"/>
  <c r="Q20" i="35"/>
  <c r="Q22" i="35"/>
  <c r="P22" i="35"/>
  <c r="D19" i="34"/>
  <c r="D18" i="34"/>
  <c r="C19" i="34"/>
  <c r="C18" i="34"/>
  <c r="J29" i="24"/>
  <c r="J37" i="24"/>
  <c r="J39" i="24"/>
  <c r="F29" i="24"/>
  <c r="F37" i="24"/>
  <c r="F39" i="24"/>
  <c r="K28" i="24"/>
  <c r="H29" i="24"/>
  <c r="J28" i="24"/>
  <c r="I28" i="24"/>
  <c r="I29" i="24"/>
  <c r="H28" i="24"/>
  <c r="G28" i="24"/>
  <c r="G29" i="24"/>
  <c r="F28" i="24"/>
  <c r="E28" i="24"/>
  <c r="E29" i="24"/>
  <c r="K26" i="24"/>
  <c r="C30" i="36"/>
  <c r="F8" i="7"/>
  <c r="F9" i="7"/>
  <c r="F10" i="7"/>
  <c r="F11" i="7"/>
  <c r="F12" i="7"/>
  <c r="F7" i="7"/>
  <c r="F19" i="34"/>
  <c r="F18" i="34"/>
  <c r="G18" i="34"/>
  <c r="F17" i="34"/>
  <c r="G17" i="34"/>
  <c r="G19" i="34"/>
  <c r="H19" i="34"/>
  <c r="F20" i="34"/>
  <c r="E20" i="34"/>
  <c r="D20" i="34"/>
  <c r="C20" i="34"/>
  <c r="H17" i="34"/>
  <c r="B12" i="34"/>
  <c r="D144" i="31"/>
  <c r="D143" i="31"/>
  <c r="D128" i="31"/>
  <c r="D112" i="31"/>
  <c r="D107" i="31"/>
  <c r="D97" i="31"/>
  <c r="D86" i="31"/>
  <c r="K38" i="24"/>
  <c r="K33" i="24"/>
  <c r="A12" i="24"/>
  <c r="A13" i="24"/>
  <c r="A14" i="24"/>
  <c r="A15" i="24"/>
  <c r="A16" i="24"/>
  <c r="A17" i="24"/>
  <c r="A18" i="24"/>
  <c r="A19" i="24"/>
  <c r="A20" i="24"/>
  <c r="A21" i="24"/>
  <c r="A22" i="24"/>
  <c r="A23" i="24"/>
  <c r="A26" i="24"/>
  <c r="A27" i="24"/>
  <c r="A28" i="24"/>
  <c r="A29" i="24"/>
  <c r="A32" i="24"/>
  <c r="A33" i="24"/>
  <c r="A34" i="24"/>
  <c r="A37" i="24"/>
  <c r="A38" i="24"/>
  <c r="A39" i="24"/>
  <c r="C25" i="1"/>
  <c r="E9" i="14"/>
  <c r="E28" i="14"/>
  <c r="E15" i="14"/>
  <c r="E8" i="14"/>
  <c r="C39" i="36"/>
  <c r="C21" i="36"/>
  <c r="C12" i="36"/>
  <c r="M24" i="35"/>
  <c r="D283" i="31"/>
  <c r="L24" i="35"/>
  <c r="K24" i="35"/>
  <c r="J24" i="35"/>
  <c r="I24" i="35"/>
  <c r="H24" i="35"/>
  <c r="G24" i="35"/>
  <c r="F24" i="35"/>
  <c r="M22" i="35"/>
  <c r="L22" i="35"/>
  <c r="K22" i="35"/>
  <c r="J22" i="35"/>
  <c r="I22" i="35"/>
  <c r="H22" i="35"/>
  <c r="G22" i="35"/>
  <c r="F22" i="35"/>
  <c r="A121" i="31"/>
  <c r="A122" i="31"/>
  <c r="A124" i="31"/>
  <c r="A125" i="31"/>
  <c r="A127" i="31"/>
  <c r="A128" i="31"/>
  <c r="A129" i="31"/>
  <c r="A130" i="31"/>
  <c r="A131" i="31"/>
  <c r="A132" i="31"/>
  <c r="A134"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3" i="31"/>
  <c r="A174" i="31"/>
  <c r="A175" i="31"/>
  <c r="A176" i="31"/>
  <c r="A177" i="31"/>
  <c r="A179" i="31"/>
  <c r="A180" i="31"/>
  <c r="A181" i="31"/>
  <c r="A183" i="31"/>
  <c r="A184" i="31"/>
  <c r="A186" i="31"/>
  <c r="A188" i="31"/>
  <c r="A189" i="31"/>
  <c r="A191" i="31"/>
  <c r="A192" i="31"/>
  <c r="A194" i="31"/>
  <c r="A195" i="31"/>
  <c r="A196" i="31"/>
  <c r="A197" i="31"/>
  <c r="A198" i="31"/>
  <c r="A199" i="31"/>
  <c r="A200" i="31"/>
  <c r="A202" i="31"/>
  <c r="A201" i="31"/>
  <c r="A204" i="31"/>
  <c r="A205" i="31"/>
  <c r="A206" i="31"/>
  <c r="A207" i="31"/>
  <c r="A208" i="31"/>
  <c r="A209" i="31"/>
  <c r="A210" i="31"/>
  <c r="A212" i="31"/>
  <c r="A213" i="31"/>
  <c r="A214" i="31"/>
  <c r="A215" i="31"/>
  <c r="A216" i="31"/>
  <c r="A218" i="31"/>
  <c r="A219" i="31"/>
  <c r="A220" i="31"/>
  <c r="A221" i="31"/>
  <c r="A223" i="31"/>
  <c r="A224" i="31"/>
  <c r="A225" i="31"/>
  <c r="A226" i="31"/>
  <c r="A227" i="31"/>
  <c r="A228" i="31"/>
  <c r="A229" i="31"/>
  <c r="A230" i="31"/>
  <c r="A231" i="31"/>
  <c r="A232" i="31"/>
  <c r="A234" i="31"/>
  <c r="A236" i="31"/>
  <c r="A237" i="31"/>
  <c r="A238" i="31"/>
  <c r="A239" i="31"/>
  <c r="A241" i="31"/>
  <c r="A242" i="31"/>
  <c r="A243" i="31"/>
  <c r="A244" i="31"/>
  <c r="A245" i="31"/>
  <c r="A246" i="31"/>
  <c r="A247" i="31"/>
  <c r="A248" i="31"/>
  <c r="A249" i="31"/>
  <c r="A250" i="31"/>
  <c r="A252" i="31"/>
  <c r="A253" i="31"/>
  <c r="A254" i="31"/>
  <c r="A256" i="31"/>
  <c r="A257" i="31"/>
  <c r="A258" i="31"/>
  <c r="A259" i="31"/>
  <c r="A260" i="31"/>
  <c r="A262" i="31"/>
  <c r="A263" i="31"/>
  <c r="A264" i="31"/>
  <c r="A266" i="31"/>
  <c r="A267" i="31"/>
  <c r="A268" i="31"/>
  <c r="A270" i="31"/>
  <c r="A271" i="31"/>
  <c r="J12" i="7"/>
  <c r="J11" i="7"/>
  <c r="J10" i="7"/>
  <c r="J9" i="7"/>
  <c r="J8" i="7"/>
  <c r="J13" i="7"/>
  <c r="J7" i="7"/>
  <c r="D200" i="31"/>
  <c r="D198" i="31"/>
  <c r="D201" i="31"/>
  <c r="D202" i="31"/>
  <c r="E10" i="14"/>
  <c r="E182" i="30"/>
  <c r="E184" i="30"/>
  <c r="E43" i="30"/>
  <c r="E261" i="30"/>
  <c r="E259" i="30"/>
  <c r="E256" i="30"/>
  <c r="E251" i="30"/>
  <c r="E249" i="30"/>
  <c r="E242" i="30"/>
  <c r="E230" i="30"/>
  <c r="E228" i="30"/>
  <c r="E212" i="30"/>
  <c r="E197" i="30"/>
  <c r="E186" i="30"/>
  <c r="E180" i="30"/>
  <c r="E175" i="30"/>
  <c r="E178" i="30"/>
  <c r="E167" i="30"/>
  <c r="E164" i="30"/>
  <c r="E161" i="30"/>
  <c r="E157" i="30"/>
  <c r="E151" i="30"/>
  <c r="E141" i="30"/>
  <c r="E139" i="30"/>
  <c r="E135" i="30"/>
  <c r="E132" i="30"/>
  <c r="E128" i="30"/>
  <c r="E123" i="30"/>
  <c r="E117" i="30"/>
  <c r="E110" i="30"/>
  <c r="E108" i="30"/>
  <c r="E106" i="30"/>
  <c r="E104" i="30"/>
  <c r="E101" i="30"/>
  <c r="E99" i="30"/>
  <c r="E97" i="30"/>
  <c r="E84" i="30"/>
  <c r="E74" i="30"/>
  <c r="E72" i="30"/>
  <c r="E69" i="30"/>
  <c r="E67" i="30"/>
  <c r="E269" i="30"/>
  <c r="F262" i="30"/>
  <c r="F263" i="30"/>
  <c r="F264" i="30"/>
  <c r="F265" i="30"/>
  <c r="F266" i="30"/>
  <c r="F267" i="30"/>
  <c r="F268" i="30"/>
  <c r="F261" i="30"/>
  <c r="F260" i="30"/>
  <c r="F259" i="30"/>
  <c r="F257" i="30"/>
  <c r="F258" i="30"/>
  <c r="F256" i="30"/>
  <c r="F252" i="30"/>
  <c r="F253" i="30"/>
  <c r="F254" i="30"/>
  <c r="F255" i="30"/>
  <c r="F251" i="30"/>
  <c r="F250" i="30"/>
  <c r="F249" i="30"/>
  <c r="F243" i="30"/>
  <c r="F244" i="30"/>
  <c r="F245" i="30"/>
  <c r="F246" i="30"/>
  <c r="F247" i="30"/>
  <c r="F248" i="30"/>
  <c r="F242" i="30"/>
  <c r="F231" i="30"/>
  <c r="F232" i="30"/>
  <c r="F233" i="30"/>
  <c r="F234" i="30"/>
  <c r="F235" i="30"/>
  <c r="F236" i="30"/>
  <c r="F237" i="30"/>
  <c r="F238" i="30"/>
  <c r="F239" i="30"/>
  <c r="F240" i="30"/>
  <c r="F241" i="30"/>
  <c r="F230" i="30"/>
  <c r="F229" i="30"/>
  <c r="F228" i="30"/>
  <c r="F213" i="30"/>
  <c r="F214" i="30"/>
  <c r="F215" i="30"/>
  <c r="F216" i="30"/>
  <c r="F217" i="30"/>
  <c r="F218" i="30"/>
  <c r="F219" i="30"/>
  <c r="F220" i="30"/>
  <c r="F221" i="30"/>
  <c r="F222" i="30"/>
  <c r="F223" i="30"/>
  <c r="F224" i="30"/>
  <c r="F225" i="30"/>
  <c r="F226" i="30"/>
  <c r="F227" i="30"/>
  <c r="F212" i="30"/>
  <c r="F198" i="30"/>
  <c r="F199" i="30"/>
  <c r="F200" i="30"/>
  <c r="F201" i="30"/>
  <c r="F202" i="30"/>
  <c r="F203" i="30"/>
  <c r="F204" i="30"/>
  <c r="F205" i="30"/>
  <c r="F206" i="30"/>
  <c r="F207" i="30"/>
  <c r="F208" i="30"/>
  <c r="F209" i="30"/>
  <c r="F210" i="30"/>
  <c r="F211" i="30"/>
  <c r="F197" i="30"/>
  <c r="F187" i="30"/>
  <c r="F188" i="30"/>
  <c r="F189" i="30"/>
  <c r="F190" i="30"/>
  <c r="F191" i="30"/>
  <c r="F192" i="30"/>
  <c r="F193" i="30"/>
  <c r="F194" i="30"/>
  <c r="F195" i="30"/>
  <c r="F196" i="30"/>
  <c r="F186" i="30"/>
  <c r="F185" i="30"/>
  <c r="F184" i="30"/>
  <c r="F183" i="30"/>
  <c r="F182" i="30"/>
  <c r="F181" i="30"/>
  <c r="F180" i="30"/>
  <c r="F176" i="30"/>
  <c r="F177" i="30"/>
  <c r="F175" i="30"/>
  <c r="F179" i="30"/>
  <c r="F178" i="30"/>
  <c r="F168" i="30"/>
  <c r="F169" i="30"/>
  <c r="F170" i="30"/>
  <c r="F171" i="30"/>
  <c r="F172" i="30"/>
  <c r="F173" i="30"/>
  <c r="F174" i="30"/>
  <c r="F167" i="30"/>
  <c r="F165" i="30"/>
  <c r="F166" i="30"/>
  <c r="F164" i="30"/>
  <c r="F162" i="30"/>
  <c r="F163" i="30"/>
  <c r="F161" i="30"/>
  <c r="F158" i="30"/>
  <c r="F159" i="30"/>
  <c r="F160" i="30"/>
  <c r="F157" i="30"/>
  <c r="F152" i="30"/>
  <c r="F153" i="30"/>
  <c r="F154" i="30"/>
  <c r="F155" i="30"/>
  <c r="F156" i="30"/>
  <c r="F151" i="30"/>
  <c r="F142" i="30"/>
  <c r="F143" i="30"/>
  <c r="F144" i="30"/>
  <c r="F145" i="30"/>
  <c r="F146" i="30"/>
  <c r="F147" i="30"/>
  <c r="F148" i="30"/>
  <c r="F149" i="30"/>
  <c r="F150" i="30"/>
  <c r="F141" i="30"/>
  <c r="F140" i="30"/>
  <c r="F139" i="30"/>
  <c r="F136" i="30"/>
  <c r="F137" i="30"/>
  <c r="F138" i="30"/>
  <c r="F135" i="30"/>
  <c r="F133" i="30"/>
  <c r="F134" i="30"/>
  <c r="F132" i="30"/>
  <c r="F129" i="30"/>
  <c r="F130" i="30"/>
  <c r="F131" i="30"/>
  <c r="F128" i="30"/>
  <c r="F124" i="30"/>
  <c r="F125" i="30"/>
  <c r="F126" i="30"/>
  <c r="F127" i="30"/>
  <c r="F123" i="30"/>
  <c r="F118" i="30"/>
  <c r="F119" i="30"/>
  <c r="F120" i="30"/>
  <c r="F121" i="30"/>
  <c r="F122" i="30"/>
  <c r="F117" i="30"/>
  <c r="F111" i="30"/>
  <c r="F112" i="30"/>
  <c r="F113" i="30"/>
  <c r="F114" i="30"/>
  <c r="F115" i="30"/>
  <c r="F116" i="30"/>
  <c r="F110" i="30"/>
  <c r="F109" i="30"/>
  <c r="F108" i="30"/>
  <c r="F107" i="30"/>
  <c r="F106" i="30"/>
  <c r="F105" i="30"/>
  <c r="F104" i="30"/>
  <c r="F102" i="30"/>
  <c r="F103" i="30"/>
  <c r="F101" i="30"/>
  <c r="D99" i="30"/>
  <c r="F99" i="30"/>
  <c r="D97" i="30"/>
  <c r="F97" i="30"/>
  <c r="D84" i="30"/>
  <c r="F84" i="30"/>
  <c r="F75" i="30"/>
  <c r="F76" i="30"/>
  <c r="F77" i="30"/>
  <c r="F78" i="30"/>
  <c r="F79" i="30"/>
  <c r="F80" i="30"/>
  <c r="F81" i="30"/>
  <c r="F82" i="30"/>
  <c r="F83" i="30"/>
  <c r="F74" i="30"/>
  <c r="F73" i="30"/>
  <c r="F72" i="30"/>
  <c r="F70" i="30"/>
  <c r="F71" i="30"/>
  <c r="F69" i="30"/>
  <c r="F68" i="30"/>
  <c r="F67" i="30"/>
  <c r="F269" i="30"/>
  <c r="D261" i="30"/>
  <c r="D259" i="30"/>
  <c r="D256" i="30"/>
  <c r="D251" i="30"/>
  <c r="D249" i="30"/>
  <c r="D242" i="30"/>
  <c r="D230" i="30"/>
  <c r="D228" i="30"/>
  <c r="D212" i="30"/>
  <c r="D197" i="30"/>
  <c r="D186" i="30"/>
  <c r="D184" i="30"/>
  <c r="D182" i="30"/>
  <c r="D180" i="30"/>
  <c r="D175" i="30"/>
  <c r="D178" i="30"/>
  <c r="D167" i="30"/>
  <c r="D164" i="30"/>
  <c r="D161" i="30"/>
  <c r="D157" i="30"/>
  <c r="D151" i="30"/>
  <c r="D141" i="30"/>
  <c r="D139" i="30"/>
  <c r="D135" i="30"/>
  <c r="D132" i="30"/>
  <c r="D128" i="30"/>
  <c r="D123" i="30"/>
  <c r="D117" i="30"/>
  <c r="D110" i="30"/>
  <c r="D108" i="30"/>
  <c r="D106" i="30"/>
  <c r="D104" i="30"/>
  <c r="D101" i="30"/>
  <c r="D74" i="30"/>
  <c r="D72" i="30"/>
  <c r="D69" i="30"/>
  <c r="D67" i="30"/>
  <c r="D269" i="30"/>
  <c r="E24" i="30"/>
  <c r="E25" i="30"/>
  <c r="E27" i="30"/>
  <c r="E28" i="30"/>
  <c r="E29" i="30"/>
  <c r="E30" i="30"/>
  <c r="E31" i="30"/>
  <c r="E32" i="30"/>
  <c r="E8" i="21"/>
  <c r="E9" i="21"/>
  <c r="E10" i="21"/>
  <c r="E11" i="21"/>
  <c r="E12" i="21"/>
  <c r="E7" i="21"/>
  <c r="E13" i="21"/>
  <c r="C13" i="21"/>
  <c r="D13" i="21"/>
  <c r="B13" i="21"/>
  <c r="H13" i="7"/>
  <c r="C13" i="7"/>
  <c r="D13" i="7"/>
  <c r="E13" i="7"/>
  <c r="F13" i="7"/>
  <c r="B13" i="7"/>
  <c r="C13" i="2"/>
  <c r="D13" i="2"/>
  <c r="E13" i="2"/>
  <c r="F13" i="2"/>
  <c r="G13" i="2"/>
  <c r="H13" i="2"/>
  <c r="I13" i="2"/>
  <c r="J13" i="2"/>
  <c r="K13" i="2"/>
  <c r="L13" i="2"/>
  <c r="M13" i="2"/>
  <c r="B13" i="2"/>
  <c r="D17" i="13"/>
  <c r="D23" i="13"/>
  <c r="D18" i="13"/>
  <c r="D19" i="13"/>
  <c r="D20" i="13"/>
  <c r="D21" i="13"/>
  <c r="D22" i="13"/>
  <c r="D9" i="13"/>
  <c r="D10" i="13"/>
  <c r="D11" i="13"/>
  <c r="D12" i="13"/>
  <c r="D13" i="13"/>
  <c r="D8" i="13"/>
  <c r="D37" i="13"/>
  <c r="D38" i="13"/>
  <c r="D39" i="13"/>
  <c r="D40" i="13"/>
  <c r="D41" i="13"/>
  <c r="D42" i="13"/>
  <c r="D43" i="13"/>
  <c r="D28" i="13"/>
  <c r="D29" i="13"/>
  <c r="D30" i="13"/>
  <c r="D31" i="13"/>
  <c r="D32" i="13"/>
  <c r="D27" i="13"/>
  <c r="E21" i="6"/>
  <c r="E20" i="6"/>
  <c r="E19" i="6"/>
  <c r="E17" i="6"/>
  <c r="E14" i="6"/>
  <c r="H28" i="25"/>
  <c r="D88" i="31"/>
  <c r="D104" i="31"/>
  <c r="D160" i="31"/>
  <c r="C23" i="24"/>
  <c r="K27" i="24"/>
  <c r="G23" i="24"/>
  <c r="D268" i="31"/>
  <c r="D260" i="31"/>
  <c r="D249" i="31"/>
  <c r="D224" i="31"/>
  <c r="D225" i="31"/>
  <c r="E42" i="30"/>
  <c r="D219" i="31"/>
  <c r="D221" i="31"/>
  <c r="E34" i="30"/>
  <c r="E36" i="30"/>
  <c r="E37" i="30"/>
  <c r="E38" i="30"/>
  <c r="E40" i="30"/>
  <c r="D214" i="31"/>
  <c r="D207" i="31"/>
  <c r="D192" i="31"/>
  <c r="D16" i="31"/>
  <c r="D45" i="31"/>
  <c r="D25" i="31"/>
  <c r="D54" i="31"/>
  <c r="D12" i="31"/>
  <c r="D41" i="31"/>
  <c r="D20" i="31"/>
  <c r="D49" i="31"/>
  <c r="D181" i="31"/>
  <c r="D180" i="31"/>
  <c r="D166" i="31"/>
  <c r="D168" i="31"/>
  <c r="D169" i="31"/>
  <c r="D170" i="31"/>
  <c r="D157" i="31"/>
  <c r="D149" i="31"/>
  <c r="D152" i="31"/>
  <c r="D140" i="31"/>
  <c r="F85" i="30"/>
  <c r="F86" i="30"/>
  <c r="F87" i="30"/>
  <c r="F88" i="30"/>
  <c r="F89" i="30"/>
  <c r="F90" i="30"/>
  <c r="F91" i="30"/>
  <c r="F92" i="30"/>
  <c r="F93" i="30"/>
  <c r="F94" i="30"/>
  <c r="F95" i="30"/>
  <c r="F96" i="30"/>
  <c r="F20" i="30"/>
  <c r="F18" i="30"/>
  <c r="D129" i="31"/>
  <c r="D120" i="31"/>
  <c r="F51" i="30"/>
  <c r="D108" i="31"/>
  <c r="D109" i="31"/>
  <c r="F52" i="30"/>
  <c r="D113" i="31"/>
  <c r="D105" i="31"/>
  <c r="F46" i="30"/>
  <c r="F47" i="30"/>
  <c r="F48" i="30"/>
  <c r="F49" i="30"/>
  <c r="F50" i="30"/>
  <c r="F53" i="30"/>
  <c r="F54" i="30"/>
  <c r="F55" i="30"/>
  <c r="F56" i="30"/>
  <c r="F57" i="30"/>
  <c r="D98" i="31"/>
  <c r="F34" i="30"/>
  <c r="F36" i="30"/>
  <c r="F37" i="30"/>
  <c r="F38" i="30"/>
  <c r="F40" i="30"/>
  <c r="D87" i="31"/>
  <c r="D79" i="31"/>
  <c r="D80" i="31"/>
  <c r="D73" i="31"/>
  <c r="D70" i="31"/>
  <c r="D71" i="31"/>
  <c r="D66" i="31"/>
  <c r="D67" i="31"/>
  <c r="D62" i="31"/>
  <c r="D63" i="31"/>
  <c r="A7" i="31"/>
  <c r="A8" i="31"/>
  <c r="D293" i="31"/>
  <c r="D292" i="31"/>
  <c r="C53" i="25"/>
  <c r="C54" i="25"/>
  <c r="C55" i="25"/>
  <c r="C56" i="25"/>
  <c r="D206" i="31"/>
  <c r="C57" i="25"/>
  <c r="D213" i="31"/>
  <c r="D216" i="31"/>
  <c r="C58" i="25"/>
  <c r="C59" i="25"/>
  <c r="D228" i="31"/>
  <c r="D232" i="31"/>
  <c r="D17" i="25"/>
  <c r="H17" i="25"/>
  <c r="D18" i="25"/>
  <c r="H18" i="25"/>
  <c r="D19" i="25"/>
  <c r="H19" i="25"/>
  <c r="D20" i="25"/>
  <c r="H20" i="25"/>
  <c r="D21" i="25"/>
  <c r="H21" i="25"/>
  <c r="H54" i="25"/>
  <c r="D22" i="25"/>
  <c r="D55" i="25"/>
  <c r="H22" i="25"/>
  <c r="H55" i="25"/>
  <c r="D23" i="25"/>
  <c r="H23" i="25"/>
  <c r="D24" i="25"/>
  <c r="H24" i="25"/>
  <c r="D25" i="25"/>
  <c r="H25" i="25"/>
  <c r="D26" i="25"/>
  <c r="H26" i="25"/>
  <c r="D27" i="25"/>
  <c r="H27" i="25"/>
  <c r="D28" i="25"/>
  <c r="D29" i="25"/>
  <c r="H29" i="25"/>
  <c r="D30" i="25"/>
  <c r="H30" i="25"/>
  <c r="D31" i="25"/>
  <c r="H31" i="25"/>
  <c r="D32" i="25"/>
  <c r="H32" i="25"/>
  <c r="D33" i="25"/>
  <c r="H33" i="25"/>
  <c r="D34" i="25"/>
  <c r="H34" i="25"/>
  <c r="H57" i="25"/>
  <c r="D35" i="25"/>
  <c r="H35" i="25"/>
  <c r="D36" i="25"/>
  <c r="H36" i="25"/>
  <c r="D37" i="25"/>
  <c r="H37" i="25"/>
  <c r="H58" i="25"/>
  <c r="D38" i="25"/>
  <c r="D59" i="25"/>
  <c r="H38" i="25"/>
  <c r="H59" i="25"/>
  <c r="D39" i="25"/>
  <c r="H39" i="25"/>
  <c r="D40" i="25"/>
  <c r="H40" i="25"/>
  <c r="D41" i="25"/>
  <c r="H41" i="25"/>
  <c r="D42" i="25"/>
  <c r="H42" i="25"/>
  <c r="D43" i="25"/>
  <c r="H43" i="25"/>
  <c r="D44" i="25"/>
  <c r="H44" i="25"/>
  <c r="D45" i="25"/>
  <c r="H45" i="25"/>
  <c r="D46" i="25"/>
  <c r="H46" i="25"/>
  <c r="D114" i="31"/>
  <c r="D47" i="25"/>
  <c r="H47" i="25"/>
  <c r="D48" i="25"/>
  <c r="H48" i="25"/>
  <c r="D49" i="25"/>
  <c r="H49" i="25"/>
  <c r="F53" i="25"/>
  <c r="F54" i="25"/>
  <c r="F55" i="25"/>
  <c r="F56" i="25"/>
  <c r="F57" i="25"/>
  <c r="F58" i="25"/>
  <c r="F59" i="25"/>
  <c r="F60" i="25"/>
  <c r="D58" i="25"/>
  <c r="C60" i="25"/>
  <c r="B53" i="25"/>
  <c r="B54" i="25"/>
  <c r="B55" i="25"/>
  <c r="B56" i="25"/>
  <c r="B57" i="25"/>
  <c r="B58" i="25"/>
  <c r="B59" i="25"/>
  <c r="B60" i="25"/>
  <c r="A61" i="25"/>
  <c r="F50" i="25"/>
  <c r="C50" i="25"/>
  <c r="B50" i="25"/>
  <c r="F20" i="20"/>
  <c r="E20" i="20"/>
  <c r="F17" i="20"/>
  <c r="E17" i="20"/>
  <c r="F12" i="20"/>
  <c r="E12" i="20"/>
  <c r="F21" i="20"/>
  <c r="E21" i="20"/>
  <c r="F65" i="30"/>
  <c r="F66" i="30"/>
  <c r="F64" i="30"/>
  <c r="F13" i="30"/>
  <c r="F98" i="30"/>
  <c r="F100" i="30"/>
  <c r="F14" i="30"/>
  <c r="F24" i="30"/>
  <c r="F25" i="30"/>
  <c r="F27" i="30"/>
  <c r="F28" i="30"/>
  <c r="F29" i="30"/>
  <c r="F30" i="30"/>
  <c r="F31" i="30"/>
  <c r="F32" i="30"/>
  <c r="F42" i="30"/>
  <c r="F43" i="30"/>
  <c r="F44" i="30"/>
  <c r="F58" i="30"/>
  <c r="F60" i="30"/>
  <c r="E64" i="30"/>
  <c r="E13" i="30"/>
  <c r="E14" i="30"/>
  <c r="E18" i="30"/>
  <c r="E20" i="30"/>
  <c r="E44" i="30"/>
  <c r="E46" i="30"/>
  <c r="E47" i="30"/>
  <c r="E48" i="30"/>
  <c r="E49" i="30"/>
  <c r="E50" i="30"/>
  <c r="E51" i="30"/>
  <c r="E52" i="30"/>
  <c r="E53" i="30"/>
  <c r="E54" i="30"/>
  <c r="E55" i="30"/>
  <c r="E56" i="30"/>
  <c r="E57" i="30"/>
  <c r="E58" i="30"/>
  <c r="E60" i="30"/>
  <c r="D64" i="30"/>
  <c r="D13" i="30"/>
  <c r="D14" i="30"/>
  <c r="D18" i="30"/>
  <c r="D20" i="30"/>
  <c r="D24" i="30"/>
  <c r="D25" i="30"/>
  <c r="D27" i="30"/>
  <c r="D28" i="30"/>
  <c r="D29" i="30"/>
  <c r="D30" i="30"/>
  <c r="D31" i="30"/>
  <c r="D32" i="30"/>
  <c r="D34" i="30"/>
  <c r="D36" i="30"/>
  <c r="D37" i="30"/>
  <c r="D38" i="30"/>
  <c r="D40" i="30"/>
  <c r="D42" i="30"/>
  <c r="D43" i="30"/>
  <c r="D44" i="30"/>
  <c r="D46" i="30"/>
  <c r="D47" i="30"/>
  <c r="D48" i="30"/>
  <c r="D49" i="30"/>
  <c r="D50" i="30"/>
  <c r="D51" i="30"/>
  <c r="D52" i="30"/>
  <c r="D53" i="30"/>
  <c r="D54" i="30"/>
  <c r="D55" i="30"/>
  <c r="D56" i="30"/>
  <c r="D57" i="30"/>
  <c r="D58" i="30"/>
  <c r="D60" i="30"/>
  <c r="D28" i="31"/>
  <c r="D57" i="31"/>
  <c r="D93" i="31"/>
  <c r="C109" i="31"/>
  <c r="C132" i="31"/>
  <c r="A3" i="30"/>
  <c r="G21" i="20"/>
  <c r="C43" i="13"/>
  <c r="B43" i="13"/>
  <c r="D33" i="13"/>
  <c r="C33" i="13"/>
  <c r="B33" i="13"/>
  <c r="B23" i="13"/>
  <c r="D14" i="13"/>
  <c r="C14" i="13"/>
  <c r="B14" i="13"/>
  <c r="M17" i="5"/>
  <c r="K17" i="5"/>
  <c r="I17" i="5"/>
  <c r="G17" i="5"/>
  <c r="E17" i="5"/>
  <c r="C17" i="5"/>
  <c r="G16" i="4"/>
  <c r="F16" i="4"/>
  <c r="E16" i="4"/>
  <c r="D16" i="4"/>
  <c r="C16" i="4"/>
  <c r="B16" i="4"/>
  <c r="F61" i="25"/>
  <c r="B61" i="25"/>
  <c r="D60" i="25"/>
  <c r="H60" i="25"/>
  <c r="D100" i="31"/>
  <c r="D57" i="25"/>
  <c r="D89" i="31"/>
  <c r="H56" i="25"/>
  <c r="D56" i="25"/>
  <c r="C63" i="25"/>
  <c r="D145" i="31"/>
  <c r="D54" i="25"/>
  <c r="D130" i="31"/>
  <c r="D132" i="31"/>
  <c r="C61" i="25"/>
  <c r="D50" i="25"/>
  <c r="H53" i="25"/>
  <c r="H50" i="25"/>
  <c r="D53" i="25"/>
  <c r="H61" i="25"/>
  <c r="D61" i="25"/>
  <c r="C145" i="31"/>
  <c r="A9" i="31"/>
  <c r="A10" i="31"/>
  <c r="A11" i="31"/>
  <c r="A12" i="31"/>
  <c r="C12" i="31"/>
  <c r="D210" i="31"/>
  <c r="C130" i="31"/>
  <c r="D110" i="31"/>
  <c r="D115" i="31"/>
  <c r="A14" i="31"/>
  <c r="D234" i="31"/>
  <c r="C157" i="31"/>
  <c r="A15" i="31"/>
  <c r="A16" i="31"/>
  <c r="C152" i="31"/>
  <c r="A18" i="31"/>
  <c r="C16" i="31"/>
  <c r="A19" i="31"/>
  <c r="A20" i="31"/>
  <c r="C170" i="31"/>
  <c r="C210" i="31"/>
  <c r="C20" i="31"/>
  <c r="A22" i="31"/>
  <c r="C201" i="31"/>
  <c r="A23" i="31"/>
  <c r="A24" i="31"/>
  <c r="A25" i="31"/>
  <c r="C25" i="31"/>
  <c r="C216" i="31"/>
  <c r="A27" i="31"/>
  <c r="A28" i="31"/>
  <c r="A30" i="31"/>
  <c r="A31" i="31"/>
  <c r="C28" i="31"/>
  <c r="A32" i="31"/>
  <c r="A33" i="31"/>
  <c r="A34" i="31"/>
  <c r="A35" i="31"/>
  <c r="A36" i="31"/>
  <c r="A37" i="31"/>
  <c r="A38" i="31"/>
  <c r="A39" i="31"/>
  <c r="A40" i="31"/>
  <c r="A41" i="31"/>
  <c r="C41" i="31"/>
  <c r="A43" i="31"/>
  <c r="A44" i="31"/>
  <c r="A45" i="31"/>
  <c r="C221" i="31"/>
  <c r="A47" i="31"/>
  <c r="C45" i="31"/>
  <c r="C234" i="31"/>
  <c r="C232" i="31"/>
  <c r="A48" i="31"/>
  <c r="A49" i="31"/>
  <c r="A51" i="31"/>
  <c r="C49" i="31"/>
  <c r="C249" i="31"/>
  <c r="A52" i="31"/>
  <c r="A53" i="31"/>
  <c r="A54" i="31"/>
  <c r="A56" i="31"/>
  <c r="A57" i="31"/>
  <c r="A59" i="31"/>
  <c r="A60" i="31"/>
  <c r="A61" i="31"/>
  <c r="C57" i="31"/>
  <c r="C54" i="31"/>
  <c r="C260" i="31"/>
  <c r="A62" i="31"/>
  <c r="A63" i="31"/>
  <c r="A65" i="31"/>
  <c r="C63" i="31"/>
  <c r="A66" i="31"/>
  <c r="A67" i="31"/>
  <c r="A69" i="31"/>
  <c r="C67" i="31"/>
  <c r="A273" i="31"/>
  <c r="A274" i="31"/>
  <c r="A70" i="31"/>
  <c r="C71" i="31"/>
  <c r="A71" i="31"/>
  <c r="A73" i="31"/>
  <c r="A75" i="31"/>
  <c r="A76" i="31"/>
  <c r="A77" i="31"/>
  <c r="A78" i="31"/>
  <c r="A79" i="31"/>
  <c r="A80" i="31"/>
  <c r="A82" i="31"/>
  <c r="A84" i="31"/>
  <c r="A85" i="31"/>
  <c r="A276" i="31"/>
  <c r="A277" i="31"/>
  <c r="A279" i="31"/>
  <c r="A280" i="31"/>
  <c r="A282" i="31"/>
  <c r="A283" i="31"/>
  <c r="A284" i="31"/>
  <c r="A285" i="31"/>
  <c r="A286" i="31"/>
  <c r="A287" i="31"/>
  <c r="A288" i="31"/>
  <c r="A289" i="31"/>
  <c r="A291" i="31"/>
  <c r="A292" i="31"/>
  <c r="A293" i="31"/>
  <c r="A294" i="31"/>
  <c r="A296" i="31"/>
  <c r="A297" i="31"/>
  <c r="A298" i="31"/>
  <c r="A86" i="31"/>
  <c r="A87" i="31"/>
  <c r="A88" i="31"/>
  <c r="A89" i="31"/>
  <c r="A91" i="31"/>
  <c r="C89" i="31"/>
  <c r="A92" i="31"/>
  <c r="A93" i="31"/>
  <c r="A95" i="31"/>
  <c r="A96" i="31"/>
  <c r="C93" i="31"/>
  <c r="A97" i="31"/>
  <c r="A98" i="31"/>
  <c r="A99" i="31"/>
  <c r="A100" i="31"/>
  <c r="A101" i="31"/>
  <c r="A103" i="31"/>
  <c r="C100" i="31"/>
  <c r="A104" i="31"/>
  <c r="A105" i="31"/>
  <c r="A106" i="31"/>
  <c r="C105" i="31"/>
  <c r="A107" i="31"/>
  <c r="A108" i="31"/>
  <c r="A109" i="31"/>
  <c r="A110" i="31"/>
  <c r="C110" i="31"/>
  <c r="A111" i="31"/>
  <c r="A112" i="31"/>
  <c r="A113" i="31"/>
  <c r="A114" i="31"/>
  <c r="A115" i="31"/>
  <c r="A117" i="31"/>
  <c r="A118" i="31"/>
  <c r="C115" i="31"/>
  <c r="C114" i="31"/>
  <c r="A119" i="31"/>
  <c r="C120" i="31"/>
  <c r="G20" i="34"/>
  <c r="H18" i="34"/>
  <c r="H20" i="34"/>
  <c r="C6" i="1"/>
  <c r="G32" i="24"/>
  <c r="G34" i="24"/>
  <c r="G37" i="24"/>
  <c r="G39" i="24"/>
  <c r="H32" i="24"/>
  <c r="H34" i="24"/>
  <c r="D297" i="31"/>
  <c r="H37" i="24"/>
  <c r="H39" i="24"/>
  <c r="D298" i="31"/>
  <c r="E37" i="24"/>
  <c r="K29" i="24"/>
  <c r="E32" i="24"/>
  <c r="I37" i="24"/>
  <c r="I39" i="24"/>
  <c r="I32" i="24"/>
  <c r="I34" i="24"/>
  <c r="F32" i="24"/>
  <c r="F34" i="24"/>
  <c r="J32" i="24"/>
  <c r="J34" i="24"/>
  <c r="D270" i="31"/>
  <c r="K32" i="24"/>
  <c r="E34" i="24"/>
  <c r="K34" i="24"/>
  <c r="E39" i="24"/>
  <c r="K39" i="24"/>
  <c r="K37" i="24"/>
</calcChain>
</file>

<file path=xl/sharedStrings.xml><?xml version="1.0" encoding="utf-8"?>
<sst xmlns="http://schemas.openxmlformats.org/spreadsheetml/2006/main" count="1187" uniqueCount="750">
  <si>
    <t>Entergy Mississippi, Inc.</t>
  </si>
  <si>
    <t>456104 - Cwl Transmission Revenue</t>
  </si>
  <si>
    <t>456111 - Non-Firm Transmission Revenue</t>
  </si>
  <si>
    <t>456112 - Short Term Firm Transm Revenue</t>
  </si>
  <si>
    <t>456113 - Long Term Firm Transm Revenue</t>
  </si>
  <si>
    <t>456102 - Gia Annual Fees</t>
  </si>
  <si>
    <t>456108 - Schdlg Syst Control &amp; Dispatch</t>
  </si>
  <si>
    <t>456117 - Reg &amp; Freq Response Trans Rev</t>
  </si>
  <si>
    <t>456118 - Spinning Reserve Ptp Tran Rev</t>
  </si>
  <si>
    <t>456119 - Suppl Reserve Ptp Tran Rev</t>
  </si>
  <si>
    <t>456127 - RTO &amp; ICT Operations Costs Rec</t>
  </si>
  <si>
    <t>4561FR - FFR Transm Revenue</t>
  </si>
  <si>
    <t>(1)</t>
  </si>
  <si>
    <t>Note:</t>
  </si>
  <si>
    <t>TOTAL</t>
  </si>
  <si>
    <t>TRANSMISSION</t>
  </si>
  <si>
    <t xml:space="preserve">  OTHER TRANS.</t>
  </si>
  <si>
    <t xml:space="preserve">  STEP-UP FACILITIES</t>
  </si>
  <si>
    <t>DESCRIPTION</t>
  </si>
  <si>
    <t>PLANT IN SERVICE</t>
  </si>
  <si>
    <t>ENTERGY MISSISSIPPI, INC.</t>
  </si>
  <si>
    <t>YEAR</t>
  </si>
  <si>
    <t>MONTH</t>
  </si>
  <si>
    <t>DAY</t>
  </si>
  <si>
    <t>HOUR</t>
  </si>
  <si>
    <t>EMI</t>
  </si>
  <si>
    <t>MEAM-EMI (GF)</t>
  </si>
  <si>
    <t>MDEA - NITS</t>
  </si>
  <si>
    <t>TVA - NITS</t>
  </si>
  <si>
    <t>C</t>
  </si>
  <si>
    <t>L</t>
  </si>
  <si>
    <t>Entergy Services Inc.</t>
  </si>
  <si>
    <t>Land Held for Future Use</t>
  </si>
  <si>
    <t>EAI</t>
  </si>
  <si>
    <t>EGSL</t>
  </si>
  <si>
    <t>ELL</t>
  </si>
  <si>
    <t>ENO</t>
  </si>
  <si>
    <t>ETI</t>
  </si>
  <si>
    <t>Steam Production</t>
  </si>
  <si>
    <t>Nuclear Production</t>
  </si>
  <si>
    <t>Hydraulic Production</t>
  </si>
  <si>
    <t>Transmission</t>
  </si>
  <si>
    <t>Distribution</t>
  </si>
  <si>
    <t>RTMO</t>
  </si>
  <si>
    <t>General</t>
  </si>
  <si>
    <t>Total</t>
  </si>
  <si>
    <t>(1) Ties to Form 1 Pg 214.47.d</t>
  </si>
  <si>
    <t>Entergy Services, Inc.</t>
  </si>
  <si>
    <t>Taxes Other Charged By Affiliates</t>
  </si>
  <si>
    <t>In Accordance With FERC Form I  - Page 263</t>
  </si>
  <si>
    <t>Description</t>
  </si>
  <si>
    <t>408110 - Employment Taxes</t>
  </si>
  <si>
    <t>408122- Excise Tax State</t>
  </si>
  <si>
    <t>408123- Excise Tax Federal</t>
  </si>
  <si>
    <t>408152 - Franchise Tax - State</t>
  </si>
  <si>
    <t>408165 - City Occupation Tax</t>
  </si>
  <si>
    <t>Totals</t>
  </si>
  <si>
    <t>ADIT- Fas 109 Offset</t>
  </si>
  <si>
    <t>Business Unit</t>
  </si>
  <si>
    <t>Type</t>
  </si>
  <si>
    <t>Account</t>
  </si>
  <si>
    <t>Account Desc</t>
  </si>
  <si>
    <t>M0000</t>
  </si>
  <si>
    <t>ADIT</t>
  </si>
  <si>
    <t>190701</t>
  </si>
  <si>
    <t>Fas 109 Adjustment - Fed</t>
  </si>
  <si>
    <t>190702</t>
  </si>
  <si>
    <t>Fas 109 Adjustment - State</t>
  </si>
  <si>
    <t>282701</t>
  </si>
  <si>
    <t>282702</t>
  </si>
  <si>
    <t>283701</t>
  </si>
  <si>
    <t>283702</t>
  </si>
  <si>
    <t>ADIT Total</t>
  </si>
  <si>
    <t>Offset</t>
  </si>
  <si>
    <t>182301</t>
  </si>
  <si>
    <t>Reg Assets - Fas109 - Federal</t>
  </si>
  <si>
    <t>254301</t>
  </si>
  <si>
    <t>Reg Liability-Fas 109-Federal</t>
  </si>
  <si>
    <t>Offset Total</t>
  </si>
  <si>
    <t>Total 190 FAS 109 Offset</t>
  </si>
  <si>
    <t>Total 282 FAS 109 Offset</t>
  </si>
  <si>
    <t>Total 283 FAS 109 Offset</t>
  </si>
  <si>
    <t>Account 454000</t>
  </si>
  <si>
    <t>Account 454100</t>
  </si>
  <si>
    <t>Generation</t>
  </si>
  <si>
    <t>General Plant</t>
  </si>
  <si>
    <t>Account 454</t>
  </si>
  <si>
    <t>(1) Ties to Form 1 Pg 300.19.b</t>
  </si>
  <si>
    <t>CLECO, ETEC and LAGEN</t>
  </si>
  <si>
    <t xml:space="preserve">Supplemental Upgrade </t>
  </si>
  <si>
    <t>Revenue Requirement</t>
  </si>
  <si>
    <t>ENOI</t>
  </si>
  <si>
    <t>Plant in Service</t>
  </si>
  <si>
    <t>Accumulated Depreciation</t>
  </si>
  <si>
    <t>Net Plant</t>
  </si>
  <si>
    <t>TP</t>
  </si>
  <si>
    <t>Allocated Net Plant</t>
  </si>
  <si>
    <t>NP</t>
  </si>
  <si>
    <t>Allocated ADIT</t>
  </si>
  <si>
    <t>Rate Base</t>
  </si>
  <si>
    <t>Rate of Return</t>
  </si>
  <si>
    <t>Return</t>
  </si>
  <si>
    <t>CIT</t>
  </si>
  <si>
    <t>Income Taxes</t>
  </si>
  <si>
    <t>Depreciation Expense</t>
  </si>
  <si>
    <t>Allocated Depr Expense</t>
  </si>
  <si>
    <t>ENTERGY SERVICES, INC.</t>
  </si>
  <si>
    <t>($)</t>
  </si>
  <si>
    <t>Statutory State Corporate Income Tax Rate</t>
  </si>
  <si>
    <t>Federal</t>
  </si>
  <si>
    <t>State</t>
  </si>
  <si>
    <t>Arkansas</t>
  </si>
  <si>
    <t>Louisiana</t>
  </si>
  <si>
    <t>**</t>
  </si>
  <si>
    <t>Mississippi</t>
  </si>
  <si>
    <t>Texas</t>
  </si>
  <si>
    <t>** Federal income tax deductible for state taxable income.</t>
  </si>
  <si>
    <t>Net of Excess ADIT</t>
  </si>
  <si>
    <t>Regulatory Asset Before Gross-up</t>
  </si>
  <si>
    <t>Change in Regulatory Asset</t>
  </si>
  <si>
    <t>EGSLA</t>
  </si>
  <si>
    <t>Tax Rate</t>
  </si>
  <si>
    <t>Originating Regulatory Asset</t>
  </si>
  <si>
    <t>Excess ADIT at</t>
  </si>
  <si>
    <t>Amortization of Excess ADIT</t>
  </si>
  <si>
    <t>Regulatory Asset Without CY Equity AFUDC</t>
  </si>
  <si>
    <t>Amortization of Permanent Difference</t>
  </si>
  <si>
    <t>Ln</t>
  </si>
  <si>
    <t>(Ln1 + Ln2)</t>
  </si>
  <si>
    <t>(Ln5 + Ln8)</t>
  </si>
  <si>
    <t>(Ln11 + Ln13 + Ln 16)</t>
  </si>
  <si>
    <t>SUPPLEMENTAL TRANSMISSION PROJECTS</t>
  </si>
  <si>
    <t>PLANT BALANCES (End of Month)</t>
  </si>
  <si>
    <t>TOTAL PLANT BALANCES</t>
  </si>
  <si>
    <t>ACCUM DEPR BALANCES (End of Month)</t>
  </si>
  <si>
    <t>TOTAL ACCUM DEPR BALANCES</t>
  </si>
  <si>
    <t>(2)</t>
  </si>
  <si>
    <t>EPRI Research</t>
  </si>
  <si>
    <t>Sum of Monetary Amt</t>
  </si>
  <si>
    <t>GL Business Unit</t>
  </si>
  <si>
    <t>Source Resource</t>
  </si>
  <si>
    <t>Source Resource Desc</t>
  </si>
  <si>
    <t>Project Desc</t>
  </si>
  <si>
    <t>506000</t>
  </si>
  <si>
    <t>923000</t>
  </si>
  <si>
    <t>Total (1)</t>
  </si>
  <si>
    <t>249</t>
  </si>
  <si>
    <t>Other Outside Contract Service</t>
  </si>
  <si>
    <t>CORPORATE ENVIRONMENTAL POLICY</t>
  </si>
  <si>
    <t>ENVIRONMENTAL SERVICES ADMINISTRATI</t>
  </si>
  <si>
    <t>249 Total</t>
  </si>
  <si>
    <t>386</t>
  </si>
  <si>
    <t>Other Contract Work</t>
  </si>
  <si>
    <t>386 Total</t>
  </si>
  <si>
    <t>568</t>
  </si>
  <si>
    <t>Dues-Company Memberships</t>
  </si>
  <si>
    <t>568 Total</t>
  </si>
  <si>
    <t>M0000 Total</t>
  </si>
  <si>
    <t>(Ln3 * Ln4)</t>
  </si>
  <si>
    <t>(Ln6 * Ln7)</t>
  </si>
  <si>
    <t>(Ln9 * Ln10)</t>
  </si>
  <si>
    <t>(Ln11 * Ln12)</t>
  </si>
  <si>
    <t>(Ln14 * Ln15)</t>
  </si>
  <si>
    <t>ETEC (ETI)</t>
  </si>
  <si>
    <t>LAGEN (EGSL)</t>
  </si>
  <si>
    <t>TOTAL OpCo</t>
  </si>
  <si>
    <t>TOTAL Cust</t>
  </si>
  <si>
    <t>M</t>
  </si>
  <si>
    <t>Q</t>
  </si>
  <si>
    <t>S</t>
  </si>
  <si>
    <t>Transmission Plant in Service</t>
  </si>
  <si>
    <t>Generator Step-up Facilities</t>
  </si>
  <si>
    <t>Net</t>
  </si>
  <si>
    <t>Ratio</t>
  </si>
  <si>
    <t>Schedule 1 Charges associated with Non-Firm TSRs</t>
  </si>
  <si>
    <t>Schedule 1 Charges associated with Short Term Firm TSRs</t>
  </si>
  <si>
    <t>Shedule 1 Charges Associated with Non-Firm</t>
  </si>
  <si>
    <t>Schedule 1 Charges Associated with Short Term Firm TSRs</t>
  </si>
  <si>
    <t>Schedule 1 Revenues</t>
  </si>
  <si>
    <t>RTO/MISO Start-up Costs</t>
  </si>
  <si>
    <t>MISO</t>
  </si>
  <si>
    <t>Nonpayroll</t>
  </si>
  <si>
    <t>Payroll</t>
  </si>
  <si>
    <t>Deferred</t>
  </si>
  <si>
    <t>Costs</t>
  </si>
  <si>
    <t>Amounts</t>
  </si>
  <si>
    <t>Adjustment</t>
  </si>
  <si>
    <t>4031AM</t>
  </si>
  <si>
    <t>Grand Total</t>
  </si>
  <si>
    <t>Summary</t>
  </si>
  <si>
    <t>Payroll Taxes</t>
  </si>
  <si>
    <t>Prod O&amp;M</t>
  </si>
  <si>
    <t>Trans O&amp;M</t>
  </si>
  <si>
    <t>Customer Accounts</t>
  </si>
  <si>
    <t>Customer Services</t>
  </si>
  <si>
    <t>A&amp;G Expenses</t>
  </si>
  <si>
    <t>Service Co Depr Exp</t>
  </si>
  <si>
    <t>Payroll O&amp;M Excl A&amp;G</t>
  </si>
  <si>
    <t>Account and Desc</t>
  </si>
  <si>
    <t>Project</t>
  </si>
  <si>
    <t>Non-Payroll</t>
  </si>
  <si>
    <t>Other Expenses (A/C 419100 - 432000)</t>
  </si>
  <si>
    <t>Expenses</t>
  </si>
  <si>
    <t>4031AM - Deprec Exp billed from Serv Co Total</t>
  </si>
  <si>
    <t>408110 - Employment Taxes Total</t>
  </si>
  <si>
    <t>O&amp;M Expenses</t>
  </si>
  <si>
    <t>Production O&amp;M</t>
  </si>
  <si>
    <t>561.5 - Syst plan &amp; standards devlpmnt</t>
  </si>
  <si>
    <t>566 - Misc. Transmission Expenses Total</t>
  </si>
  <si>
    <t>568 - Maint. Supervision &amp; Engineer</t>
  </si>
  <si>
    <t>570 - Maint. Of Station Equipment</t>
  </si>
  <si>
    <t>Transmission O&amp;M</t>
  </si>
  <si>
    <t>Regional &amp; Marketing O&amp;M</t>
  </si>
  <si>
    <t>Distribution O&amp;M</t>
  </si>
  <si>
    <t>Total O&amp;M Expenses Excluding A&amp;G</t>
  </si>
  <si>
    <t>Administrative &amp; General Expenses</t>
  </si>
  <si>
    <t>920 - Adm &amp; General Salaries Total</t>
  </si>
  <si>
    <t>921 - Office Supplies And Expenses</t>
  </si>
  <si>
    <t>923 - Outside Services Employed Total</t>
  </si>
  <si>
    <t>925 - Injuries &amp; Damages Expense Total</t>
  </si>
  <si>
    <t>926 - Employee Pension &amp; Benefits</t>
  </si>
  <si>
    <t>928 - Regulatory Commission Expense Total</t>
  </si>
  <si>
    <t>930.1 - General Advertising Expenses</t>
  </si>
  <si>
    <t>930.2 - Active Development Expenses Total</t>
  </si>
  <si>
    <t>935 - Maintenance Of General Plant</t>
  </si>
  <si>
    <t>Total Administrative &amp; General Expenses</t>
  </si>
  <si>
    <t>Total O&amp;M Expenses</t>
  </si>
  <si>
    <t>Details of ITC Costs Charged to Operating Companies</t>
  </si>
  <si>
    <t>107000 - Constr. Work In Progress</t>
  </si>
  <si>
    <t>F5PPTRAPMO</t>
  </si>
  <si>
    <t>163000 - Stores Expenses Undistributed</t>
  </si>
  <si>
    <t>184001 - Operations  Vehicle</t>
  </si>
  <si>
    <t>F3PPTRAIMP</t>
  </si>
  <si>
    <t>4031AM - Deprec Exp billed from Serv Co</t>
  </si>
  <si>
    <t>F3PP1TRALA</t>
  </si>
  <si>
    <t>F3PPTRAEAI</t>
  </si>
  <si>
    <t>F3PPTRAEMI</t>
  </si>
  <si>
    <t>F3PPTRAENO</t>
  </si>
  <si>
    <t>F3PPTRAETI</t>
  </si>
  <si>
    <t>F5PPTRAFIN</t>
  </si>
  <si>
    <t>F5PPTRAREG</t>
  </si>
  <si>
    <t>E1PPTIPEAI</t>
  </si>
  <si>
    <t>E1PPTIPELL</t>
  </si>
  <si>
    <t>E1PPTIPETI</t>
  </si>
  <si>
    <t>419100 - Afudc - Other Funds</t>
  </si>
  <si>
    <t>426400 - Exp-Civic,Political &amp; Rel Act</t>
  </si>
  <si>
    <t>426500 - Other Deductions</t>
  </si>
  <si>
    <t>432000 - Afudc -Borrowed Funds - Cr.</t>
  </si>
  <si>
    <t>500000 - Oper Supervision &amp; Engineerin</t>
  </si>
  <si>
    <t>506000 - Misc Steam Power Expenses</t>
  </si>
  <si>
    <t>E1PPTIPEGS</t>
  </si>
  <si>
    <t>514000 - Maintenance Of Misc Steam Plt</t>
  </si>
  <si>
    <t>517000 - Operation, Supervision &amp; Engr</t>
  </si>
  <si>
    <t>549000 - Misc Oth Pwr Generation Exps</t>
  </si>
  <si>
    <t>554000 - Maint-Misc Other Pwr Gen Plt</t>
  </si>
  <si>
    <t>560000 - Oper Super &amp; Engineering</t>
  </si>
  <si>
    <t>566000 - Misc. Transmission Expenses</t>
  </si>
  <si>
    <t>568000 - Maint. Supervision &amp; Engineer</t>
  </si>
  <si>
    <t>569000 - Maintenance Of Structures</t>
  </si>
  <si>
    <t>580000 - Operation Supervision&amp;Enginee</t>
  </si>
  <si>
    <t>592000 - Maint. Of Station Equipment</t>
  </si>
  <si>
    <t>910000 - Misc Cust Ser &amp;Information Ex</t>
  </si>
  <si>
    <t>920000 - Adm &amp; General Salaries</t>
  </si>
  <si>
    <t>921000 - Office Supplies And Expenses</t>
  </si>
  <si>
    <t>E1PPTIPEMI</t>
  </si>
  <si>
    <t>923000 - Outside Services Employed</t>
  </si>
  <si>
    <t>925000 - Injuries &amp; Damages Expense</t>
  </si>
  <si>
    <t>926000 - Employee Pension &amp; Benefits</t>
  </si>
  <si>
    <t>928000 - Regulatory Commission Expense</t>
  </si>
  <si>
    <t>930100 - General Advertising Expenses</t>
  </si>
  <si>
    <t>930200 - Miscellaneous General Expense</t>
  </si>
  <si>
    <t>930201 - Active Development Expenses</t>
  </si>
  <si>
    <t>935000 - Maintenance Of General Plant</t>
  </si>
  <si>
    <t>Total ITC Costs</t>
  </si>
  <si>
    <t>Attachment O</t>
  </si>
  <si>
    <t>Summary of ITC Costs Charged to Operating Company To Be Excluded</t>
  </si>
  <si>
    <t>500 - Oper Supervision &amp; Engineerin</t>
  </si>
  <si>
    <t>506 - Misc Steam Power Expenses</t>
  </si>
  <si>
    <t>511 - Maintenance Of Structures Total</t>
  </si>
  <si>
    <t>514 - Maintenance Of Misc Steam Plt</t>
  </si>
  <si>
    <t>517 - Operation, Supervision &amp; Engr Total</t>
  </si>
  <si>
    <t>549 - Misc Oth Pwr Generation Exps</t>
  </si>
  <si>
    <t>554 - Maint-Misc Other Pwr Gen Plt</t>
  </si>
  <si>
    <t>Total Production O&amp;M</t>
  </si>
  <si>
    <t>560 - Oper Super &amp; Engineering Total</t>
  </si>
  <si>
    <t>569 - Maintenance Of Structures Total</t>
  </si>
  <si>
    <t>Total Transmission O&amp;M</t>
  </si>
  <si>
    <t xml:space="preserve"> </t>
  </si>
  <si>
    <t>ATTACHMENT O</t>
  </si>
  <si>
    <t>ITC TRANSACTION COSTS</t>
  </si>
  <si>
    <t>TOTAL ELECTRIC</t>
  </si>
  <si>
    <t>WP 14</t>
  </si>
  <si>
    <t>Revenue Associated with Short Term Sales</t>
  </si>
  <si>
    <t>Revenue Associated with Non-Firm Sales</t>
  </si>
  <si>
    <t>Schedule 1 Recoverable Expenses</t>
  </si>
  <si>
    <t>WP 11</t>
  </si>
  <si>
    <t>% of federal income tax deductible by state</t>
  </si>
  <si>
    <t>Tax Rates</t>
  </si>
  <si>
    <t>Less Contract Demand from ISO at a discount (enter negative)</t>
  </si>
  <si>
    <t>Less Contract Demand from Grandfathered (enter negative)</t>
  </si>
  <si>
    <t>Plus Contract Demand of firm P-T-P</t>
  </si>
  <si>
    <t>Less 12 CP of firm P-T-P (enter negative)</t>
  </si>
  <si>
    <t>Plus 12 CP of Network Load</t>
  </si>
  <si>
    <t>Plus 12 CP of firm bundled sales</t>
  </si>
  <si>
    <t>Footnotes 400.1.a &amp; WP 10</t>
  </si>
  <si>
    <t>Average of billing determinants</t>
  </si>
  <si>
    <t>Divisor</t>
  </si>
  <si>
    <t xml:space="preserve">Network Customer 2 </t>
  </si>
  <si>
    <t>Network Customer 1</t>
  </si>
  <si>
    <t>Revenues from service provided by the ISO at a discount</t>
  </si>
  <si>
    <t>Revenues from Grandfathered Interzonal Transactions</t>
  </si>
  <si>
    <t>Transmission charges associated with Attachment MM  (Note Z)</t>
  </si>
  <si>
    <t>Transmission charges associated with Attachment GG  (Note X)</t>
  </si>
  <si>
    <t>Total Charges for all transm transactions included in Divisor on Page 1</t>
  </si>
  <si>
    <t>WP 8</t>
  </si>
  <si>
    <t>Account 456.1</t>
  </si>
  <si>
    <t>WP 7</t>
  </si>
  <si>
    <t>Transmission Related</t>
  </si>
  <si>
    <t>Revenues</t>
  </si>
  <si>
    <t>Bundled Sales for Resale</t>
  </si>
  <si>
    <t>Bundled Non-RQ Sales for Resale</t>
  </si>
  <si>
    <t>Account 447 (Sales for Resale)</t>
  </si>
  <si>
    <t>Total Long Term Debt</t>
  </si>
  <si>
    <t>112.21.c</t>
  </si>
  <si>
    <t>Account 224</t>
  </si>
  <si>
    <t>112.20.c</t>
  </si>
  <si>
    <t>Account 223</t>
  </si>
  <si>
    <t>112.19.c</t>
  </si>
  <si>
    <t>(Less) Account 222</t>
  </si>
  <si>
    <t>112.18.c</t>
  </si>
  <si>
    <t>Account 221</t>
  </si>
  <si>
    <t>112.12.c</t>
  </si>
  <si>
    <t>Account 216.1 (enter negative)</t>
  </si>
  <si>
    <t>112.3.c</t>
  </si>
  <si>
    <t>Preferred Stock</t>
  </si>
  <si>
    <t>112.16.c</t>
  </si>
  <si>
    <t>Proprietary Capital</t>
  </si>
  <si>
    <t>118.29.c</t>
  </si>
  <si>
    <t>Preferred Dividends (positive number)</t>
  </si>
  <si>
    <t>Total Long Term Interest Exp</t>
  </si>
  <si>
    <t>117.67.c</t>
  </si>
  <si>
    <t>Account 430</t>
  </si>
  <si>
    <t>117.66.c</t>
  </si>
  <si>
    <t>(Less) Account 429.1</t>
  </si>
  <si>
    <t>117.65.c</t>
  </si>
  <si>
    <t>(Less) Account 429</t>
  </si>
  <si>
    <t>117.64.c</t>
  </si>
  <si>
    <t>Account 428.1</t>
  </si>
  <si>
    <t>117.63.c</t>
  </si>
  <si>
    <t>Account 428</t>
  </si>
  <si>
    <t xml:space="preserve">117.62.c </t>
  </si>
  <si>
    <t>Account 427</t>
  </si>
  <si>
    <t>Long Term Interest Exp</t>
  </si>
  <si>
    <t>Cost of Capital</t>
  </si>
  <si>
    <t>201.3.e</t>
  </si>
  <si>
    <t xml:space="preserve"> Water</t>
  </si>
  <si>
    <t>201.3.d</t>
  </si>
  <si>
    <t xml:space="preserve"> Gas</t>
  </si>
  <si>
    <t>200.3.c</t>
  </si>
  <si>
    <t xml:space="preserve"> Electric</t>
  </si>
  <si>
    <t>COMMON PLANT ALLOCATOR  (CE)</t>
  </si>
  <si>
    <t>Total Other</t>
  </si>
  <si>
    <t>Footnotes 354.96.d</t>
  </si>
  <si>
    <t>Sales ESI</t>
  </si>
  <si>
    <t>354.26.b</t>
  </si>
  <si>
    <t>Sales</t>
  </si>
  <si>
    <t>Customer Service ESI</t>
  </si>
  <si>
    <t>WP 16</t>
  </si>
  <si>
    <t>Deferred ITC Costs</t>
  </si>
  <si>
    <t>WP 15</t>
  </si>
  <si>
    <t>Deferred MISO Costs</t>
  </si>
  <si>
    <t>354.25.b</t>
  </si>
  <si>
    <t>Customer Service And Informational</t>
  </si>
  <si>
    <t>Customer Accounts ESI</t>
  </si>
  <si>
    <t>354.24.b</t>
  </si>
  <si>
    <t>Total Distribution</t>
  </si>
  <si>
    <t>ESI</t>
  </si>
  <si>
    <t>354.23.b</t>
  </si>
  <si>
    <t>Total Transmission</t>
  </si>
  <si>
    <t>354.21.b</t>
  </si>
  <si>
    <t>Total Production</t>
  </si>
  <si>
    <t>EOI</t>
  </si>
  <si>
    <t>354.20.b</t>
  </si>
  <si>
    <t>Production</t>
  </si>
  <si>
    <t>Labor Expense</t>
  </si>
  <si>
    <t>Total Trans Expenses Included in OATT Ancillary Services</t>
  </si>
  <si>
    <t>Account 561.BA</t>
  </si>
  <si>
    <t>321.87.b</t>
  </si>
  <si>
    <t>Account 561.3</t>
  </si>
  <si>
    <t>321.86.b</t>
  </si>
  <si>
    <t>Account 561.2</t>
  </si>
  <si>
    <t>321.85.b</t>
  </si>
  <si>
    <t>Account 561.1</t>
  </si>
  <si>
    <t>Transmission Expenses</t>
  </si>
  <si>
    <t>WP 6</t>
  </si>
  <si>
    <t>Plant In Service</t>
  </si>
  <si>
    <t>Step-Up Transformers</t>
  </si>
  <si>
    <t>Less Trans Excluded from ISO rates</t>
  </si>
  <si>
    <t>TRANS PLT INCLUDED IN ISO RATES</t>
  </si>
  <si>
    <t>WP 13</t>
  </si>
  <si>
    <t>Rev Requ for Supp Upgrade trans facilities</t>
  </si>
  <si>
    <t>Attachment MM Adjustment</t>
  </si>
  <si>
    <t>Attachment GG Adjustment</t>
  </si>
  <si>
    <t>WP 5</t>
  </si>
  <si>
    <t>Tax Effect of Permanent Differences</t>
  </si>
  <si>
    <t>Excess Deferred Income Taxes (enter negative)</t>
  </si>
  <si>
    <t>266.8.f</t>
  </si>
  <si>
    <t>Investment Tax Credit Amortization (enter negative)</t>
  </si>
  <si>
    <t>263.31.i</t>
  </si>
  <si>
    <t>263.9.i</t>
  </si>
  <si>
    <t>State Income</t>
  </si>
  <si>
    <t>263.2.i</t>
  </si>
  <si>
    <t>Federal Income</t>
  </si>
  <si>
    <t>WP 12</t>
  </si>
  <si>
    <t>Excise Tax Federal</t>
  </si>
  <si>
    <t>Excise Tax State</t>
  </si>
  <si>
    <t>263.21.i</t>
  </si>
  <si>
    <t>Excise Tax</t>
  </si>
  <si>
    <t>City Occupation Tax</t>
  </si>
  <si>
    <t>263.20.i</t>
  </si>
  <si>
    <t>Non-Income Taxes</t>
  </si>
  <si>
    <t>263.19.i</t>
  </si>
  <si>
    <t>Regulatory Tax</t>
  </si>
  <si>
    <t>263.18.i</t>
  </si>
  <si>
    <t>Privilege License</t>
  </si>
  <si>
    <t>263.15.i</t>
  </si>
  <si>
    <t>Franchise State of AR</t>
  </si>
  <si>
    <t>263.14.i</t>
  </si>
  <si>
    <t>Franchise State of MS</t>
  </si>
  <si>
    <t>Franchise Tax- State</t>
  </si>
  <si>
    <t>263.5.i</t>
  </si>
  <si>
    <t>Federal Excise Tax</t>
  </si>
  <si>
    <t>Other</t>
  </si>
  <si>
    <t>Total Gross Receipts</t>
  </si>
  <si>
    <t>263.13.i</t>
  </si>
  <si>
    <t>Franchise City Tax</t>
  </si>
  <si>
    <t>263.12.i</t>
  </si>
  <si>
    <t>Receipts and Sales</t>
  </si>
  <si>
    <t>263.11.i</t>
  </si>
  <si>
    <t>State Use Tax</t>
  </si>
  <si>
    <t>Gross Receipts</t>
  </si>
  <si>
    <t>Total Property</t>
  </si>
  <si>
    <t>263.17.i</t>
  </si>
  <si>
    <t>Real &amp; Personal Prop. - AR</t>
  </si>
  <si>
    <t>263.16.i</t>
  </si>
  <si>
    <t>Real &amp; Personal Prop. - MS</t>
  </si>
  <si>
    <t>Property</t>
  </si>
  <si>
    <t xml:space="preserve">  PLANT RELATED</t>
  </si>
  <si>
    <t>Total Payroll</t>
  </si>
  <si>
    <t>263.10.i</t>
  </si>
  <si>
    <t>State Unemployment</t>
  </si>
  <si>
    <t>263.4.i</t>
  </si>
  <si>
    <t>Federal Unemployment</t>
  </si>
  <si>
    <t>Employment Taxes</t>
  </si>
  <si>
    <t>263.3.i</t>
  </si>
  <si>
    <t>FICA</t>
  </si>
  <si>
    <t xml:space="preserve">  LABOR RELATED</t>
  </si>
  <si>
    <t>Taxes Other Than Income</t>
  </si>
  <si>
    <t>Common</t>
  </si>
  <si>
    <t>Total General &amp; Intangible</t>
  </si>
  <si>
    <t>336.1.f</t>
  </si>
  <si>
    <t>Intangible</t>
  </si>
  <si>
    <t>Total General</t>
  </si>
  <si>
    <t xml:space="preserve">336.10.f </t>
  </si>
  <si>
    <t>Depreciation &amp; Amortization</t>
  </si>
  <si>
    <t>Transmission Lease Payments</t>
  </si>
  <si>
    <t>Total Trans Related Reg Comm Exp</t>
  </si>
  <si>
    <t>MISO Transition Costs Deferral</t>
  </si>
  <si>
    <t>MISO Transition Cost</t>
  </si>
  <si>
    <t>Trans Related Reg Comm Exp</t>
  </si>
  <si>
    <t>Total EPRI, Reg Comm Exp &amp; Non-Safety</t>
  </si>
  <si>
    <t>Total Non-Safety (Account 930.1)</t>
  </si>
  <si>
    <t>323.191.b</t>
  </si>
  <si>
    <t>Non-Safety (Account 930.1)</t>
  </si>
  <si>
    <t>Total Regulatory Commision Exp.</t>
  </si>
  <si>
    <t>Less: FERC Annual Fees</t>
  </si>
  <si>
    <t>351.46.h</t>
  </si>
  <si>
    <t>Regulatory Commission Exp.</t>
  </si>
  <si>
    <t>Total EPRI</t>
  </si>
  <si>
    <t>WP 4</t>
  </si>
  <si>
    <t>EPRI Dues</t>
  </si>
  <si>
    <t>350.3.b</t>
  </si>
  <si>
    <t>FERC Annual Fees</t>
  </si>
  <si>
    <t>Total A&amp;G</t>
  </si>
  <si>
    <t>WP 17</t>
  </si>
  <si>
    <t>323.197.b</t>
  </si>
  <si>
    <t>A&amp;G</t>
  </si>
  <si>
    <t>321.96.b</t>
  </si>
  <si>
    <t>Acct 565</t>
  </si>
  <si>
    <t>Total Accounts 561.4 &amp; 561.8</t>
  </si>
  <si>
    <t>321.92.b</t>
  </si>
  <si>
    <t>Account 561.8</t>
  </si>
  <si>
    <t xml:space="preserve">321.88.b </t>
  </si>
  <si>
    <t>Account 561.4</t>
  </si>
  <si>
    <t>WP 9</t>
  </si>
  <si>
    <t>Less Facility Credits</t>
  </si>
  <si>
    <t>321.112.b</t>
  </si>
  <si>
    <t>O&amp;M</t>
  </si>
  <si>
    <t>111.57.c</t>
  </si>
  <si>
    <t xml:space="preserve">Prepayments (Acct 165) </t>
  </si>
  <si>
    <t>Ln57 + Ln60</t>
  </si>
  <si>
    <t>Materials &amp; Supplies (Trans Only)</t>
  </si>
  <si>
    <t>(Ln57/Ln59)*Ln58</t>
  </si>
  <si>
    <t>Account 163 Prorated Amount for Trans Only</t>
  </si>
  <si>
    <t>227.12.c</t>
  </si>
  <si>
    <t>Total Account 154</t>
  </si>
  <si>
    <t>227.16.c</t>
  </si>
  <si>
    <t>Stores Expense Undistributed (Acct 163)</t>
  </si>
  <si>
    <t xml:space="preserve">227.8.c </t>
  </si>
  <si>
    <t>Materials &amp; Supplies- Transmission Plant</t>
  </si>
  <si>
    <t>Materials &amp; Supplies</t>
  </si>
  <si>
    <t>WP 3</t>
  </si>
  <si>
    <t xml:space="preserve">Land Held Future Use </t>
  </si>
  <si>
    <t>Total Acct 190</t>
  </si>
  <si>
    <t>WP 2</t>
  </si>
  <si>
    <t>Acct 190 FAS 106 &amp; 109</t>
  </si>
  <si>
    <t>234.8.c</t>
  </si>
  <si>
    <t>Acct 190</t>
  </si>
  <si>
    <t>Total Acct 283</t>
  </si>
  <si>
    <t>Acct 283 FAS 106 &amp; 109</t>
  </si>
  <si>
    <t>277.9.k</t>
  </si>
  <si>
    <t>Acct 283 (Negative)</t>
  </si>
  <si>
    <t>Total Acct 282</t>
  </si>
  <si>
    <t>Acct 282 FAS 106 &amp; 109</t>
  </si>
  <si>
    <t>275.2.k</t>
  </si>
  <si>
    <t>Acct 282 (Negative)</t>
  </si>
  <si>
    <t>273.8.k</t>
  </si>
  <si>
    <t>Acct 281 (Negative)</t>
  </si>
  <si>
    <t xml:space="preserve">ADIT </t>
  </si>
  <si>
    <t>Total Accum Dep</t>
  </si>
  <si>
    <t>356.1</t>
  </si>
  <si>
    <t>200.21.c</t>
  </si>
  <si>
    <t>Footnotes to 219.28.c</t>
  </si>
  <si>
    <t>Less ARO</t>
  </si>
  <si>
    <t xml:space="preserve">219.28.c </t>
  </si>
  <si>
    <t>Distribution Accum Dep Excl ARO</t>
  </si>
  <si>
    <t>Footnotes to 219.26.c</t>
  </si>
  <si>
    <t>219.26.c</t>
  </si>
  <si>
    <t>Transmission Accum Dep Excl ARO</t>
  </si>
  <si>
    <t>Footnotes to 219.25.c</t>
  </si>
  <si>
    <t>219.25.c</t>
  </si>
  <si>
    <t>Production Accum Dep Excl ARO</t>
  </si>
  <si>
    <t>Footnotes to 219.24.c</t>
  </si>
  <si>
    <t>Less ARO Other Production</t>
  </si>
  <si>
    <t>219.24.c</t>
  </si>
  <si>
    <t>Other Production</t>
  </si>
  <si>
    <t>Footnotes to 219.23.c</t>
  </si>
  <si>
    <t>Less ARO Hydraulic Production- Pumped Storage</t>
  </si>
  <si>
    <t>219.23.c</t>
  </si>
  <si>
    <t>Hydraulic Production- Pumped Storage</t>
  </si>
  <si>
    <t>Footnotes to 219.22.c</t>
  </si>
  <si>
    <t>Less ARO Hydraulic Production- Conventional</t>
  </si>
  <si>
    <t>219.22.c</t>
  </si>
  <si>
    <t>Hydraulic Production- Conventional</t>
  </si>
  <si>
    <t>Footnotes to 219.21.c</t>
  </si>
  <si>
    <t>Less ARO Nuclear</t>
  </si>
  <si>
    <t>219.21.c</t>
  </si>
  <si>
    <t>Footnotes to 219.20.c</t>
  </si>
  <si>
    <t>Less ARO Steam</t>
  </si>
  <si>
    <t>219.20.c</t>
  </si>
  <si>
    <t>Total Gross Plant in Service</t>
  </si>
  <si>
    <t>207.98.g</t>
  </si>
  <si>
    <t>Less ARO General</t>
  </si>
  <si>
    <t>207.99.g</t>
  </si>
  <si>
    <t xml:space="preserve">205.5.g </t>
  </si>
  <si>
    <t>Distribution Plt Excl ARO</t>
  </si>
  <si>
    <t>207.74.g</t>
  </si>
  <si>
    <t>207.75.g</t>
  </si>
  <si>
    <t>Transmission Plt Excl ARO</t>
  </si>
  <si>
    <t>207.57.g</t>
  </si>
  <si>
    <t>207.58.g</t>
  </si>
  <si>
    <t>Production Plt Excl ARO</t>
  </si>
  <si>
    <t>205.44.g</t>
  </si>
  <si>
    <t>Less ARO Other</t>
  </si>
  <si>
    <t>205.34.g</t>
  </si>
  <si>
    <t>Less ARO Hydraulic</t>
  </si>
  <si>
    <t>205.24.g</t>
  </si>
  <si>
    <t>205.15.g</t>
  </si>
  <si>
    <t>205.46.g</t>
  </si>
  <si>
    <t xml:space="preserve">Gross Plant In Service </t>
  </si>
  <si>
    <t>Entergy Mississippi, Inc. (EMI)</t>
  </si>
  <si>
    <t>FF1 Page Number</t>
  </si>
  <si>
    <t>Ln #</t>
  </si>
  <si>
    <t>2013 DATA</t>
  </si>
  <si>
    <t>2013</t>
  </si>
  <si>
    <t>C6PPWMR001</t>
  </si>
  <si>
    <t>C6PPLRT002</t>
  </si>
  <si>
    <t>253107 - Oth Def - EAI CWIP</t>
  </si>
  <si>
    <t>4265AD - AFDC Dr Cntra APSC Ord 09-84-U</t>
  </si>
  <si>
    <t>4265AE - AFDC Eqty Cntr APSC Or 09-84-U</t>
  </si>
  <si>
    <t>E1PPTIPENO</t>
  </si>
  <si>
    <t>524000 - Misc. Nuclear Power Expenses</t>
  </si>
  <si>
    <t>573000 - Maint Misc Transmission Plant</t>
  </si>
  <si>
    <t>588000 - Misc Distribution Expense</t>
  </si>
  <si>
    <t>593000 - Maintenance Of Overhead Lines</t>
  </si>
  <si>
    <t>903002 - Collection Expense</t>
  </si>
  <si>
    <t>931000 - Rents</t>
  </si>
  <si>
    <t>Other Costs (A/C 1010 - 253107)</t>
  </si>
  <si>
    <t>524 - Misc. Nuclear Power Expenses</t>
  </si>
  <si>
    <t>930.2 - Misc. General Expense</t>
  </si>
  <si>
    <t>931 - Rents</t>
  </si>
  <si>
    <t>2013 Equity AFUDC Originating Difference</t>
  </si>
  <si>
    <t>Critical Infrastructure Protection</t>
  </si>
  <si>
    <t>WATER PROGRAMS - FOSSIL</t>
  </si>
  <si>
    <t>905000</t>
  </si>
  <si>
    <t>925000</t>
  </si>
  <si>
    <t>903002</t>
  </si>
  <si>
    <t>507000</t>
  </si>
  <si>
    <t>456107 - Network Transmission Revenue</t>
  </si>
  <si>
    <t>456136 - MISO Sch 7 Firm PTP - ST</t>
  </si>
  <si>
    <t>456137 - MISO Sch 7 Firm PTP - LT</t>
  </si>
  <si>
    <t>456138 - MISO Sch 8 Non-firm</t>
  </si>
  <si>
    <t>456139 - MISO Sch 9 Network</t>
  </si>
  <si>
    <t>456142 - MISO Sch 42 Int/AFUDC Amort</t>
  </si>
  <si>
    <t>2013 DEPRECIATION EXPENSES</t>
  </si>
  <si>
    <t>2013 Total</t>
  </si>
  <si>
    <t>TOTAL 2013 DEPR. EXPENSES</t>
  </si>
  <si>
    <t>CLECO (NLAKE)</t>
  </si>
  <si>
    <t>(3)</t>
  </si>
  <si>
    <t>(4)</t>
  </si>
  <si>
    <t>143983</t>
  </si>
  <si>
    <t>143985</t>
  </si>
  <si>
    <t>143987</t>
  </si>
  <si>
    <t>143995</t>
  </si>
  <si>
    <t>408110</t>
  </si>
  <si>
    <t>500000</t>
  </si>
  <si>
    <t>510000</t>
  </si>
  <si>
    <t>556000</t>
  </si>
  <si>
    <t>557000</t>
  </si>
  <si>
    <t>560000</t>
  </si>
  <si>
    <t>561200</t>
  </si>
  <si>
    <t>561300</t>
  </si>
  <si>
    <t>561500</t>
  </si>
  <si>
    <t>566000</t>
  </si>
  <si>
    <t>569100</t>
  </si>
  <si>
    <t>909000</t>
  </si>
  <si>
    <t>920000</t>
  </si>
  <si>
    <t>921000</t>
  </si>
  <si>
    <t>926000</t>
  </si>
  <si>
    <t>928000</t>
  </si>
  <si>
    <t>930100</t>
  </si>
  <si>
    <t>930200</t>
  </si>
  <si>
    <t>931000</t>
  </si>
  <si>
    <t>Oth Accts Receivable</t>
  </si>
  <si>
    <t>F3PPSPE084</t>
  </si>
  <si>
    <t>F3PPSPE085</t>
  </si>
  <si>
    <t>Attachment O Denominator</t>
  </si>
  <si>
    <t>SUM EMI LOAD</t>
  </si>
  <si>
    <t>TOTAL/12</t>
  </si>
  <si>
    <t>351.8.h</t>
  </si>
  <si>
    <t>Ad Valorem Tax</t>
  </si>
  <si>
    <t>408142 - Ad Valorem Tax</t>
  </si>
  <si>
    <t>351.8.i</t>
  </si>
  <si>
    <t>336.7.f</t>
  </si>
  <si>
    <t>336.11.f</t>
  </si>
  <si>
    <t>(1) Ties to FERC Form 1 353.5.f</t>
  </si>
  <si>
    <t>For the Test Year Ended December 31, 2013</t>
  </si>
  <si>
    <t>Excess Deferred Income Tax &amp; Tax Effect of Perm Differences</t>
  </si>
  <si>
    <t>FOR THE TEST YEAR ENDED DECEMBER 31, 2013</t>
  </si>
  <si>
    <t xml:space="preserve"> For the Test Year Ended December 31, 2013</t>
  </si>
  <si>
    <t>For The Test Year Ended December 31, 2013</t>
  </si>
  <si>
    <t>Entergy Mississippi, Inc,</t>
  </si>
  <si>
    <t>Total Facility Credits by Opco for 2013</t>
  </si>
  <si>
    <t>Atachment O</t>
  </si>
  <si>
    <t>Test Year Ended December 31, 2013</t>
  </si>
  <si>
    <t>Data Source</t>
  </si>
  <si>
    <t>AL</t>
  </si>
  <si>
    <t>AN</t>
  </si>
  <si>
    <t>Net RTO/MISO related Start-Up costs recorded in 2013</t>
  </si>
  <si>
    <t xml:space="preserve">Transmission charges for all transmission transactions </t>
  </si>
  <si>
    <t>Twelve Months Ended December 31, 2013</t>
  </si>
  <si>
    <t>Customer Accounts Expenses</t>
  </si>
  <si>
    <t>Input Data</t>
  </si>
  <si>
    <t>At December 31, 2013</t>
  </si>
  <si>
    <t>Monthly Average</t>
  </si>
  <si>
    <t>Annualized Amount</t>
  </si>
  <si>
    <t>456136</t>
  </si>
  <si>
    <t>MISO Sch 7 Firm PTP - ST</t>
  </si>
  <si>
    <t>456137</t>
  </si>
  <si>
    <t>MISO Sch 7 Firm PTP - LT</t>
  </si>
  <si>
    <t>456138</t>
  </si>
  <si>
    <t>MISO Sch 8 Non-firm</t>
  </si>
  <si>
    <t>FOR THE YEAR ENDED DECEMBER 31, 2013</t>
  </si>
  <si>
    <t>TOTAL LOAD FOR EMI DIVISOR</t>
  </si>
  <si>
    <t>ADIT BALANCES (End of Month)</t>
  </si>
  <si>
    <t>Total ADIT Balances</t>
  </si>
  <si>
    <t xml:space="preserve">Account 454 </t>
  </si>
  <si>
    <t>Account 456 - Other Electric Revenue</t>
  </si>
  <si>
    <t>Schedule 24 Recoverable Costs (A/C 561.2BA)</t>
  </si>
  <si>
    <t>Line 13 * Line 17</t>
  </si>
  <si>
    <t>Post MISO Integration</t>
  </si>
  <si>
    <t>Line 18 + Line 19</t>
  </si>
  <si>
    <t>Line 21 + Line 22</t>
  </si>
  <si>
    <t>Notes:</t>
  </si>
  <si>
    <t xml:space="preserve">(1) Upon the transition into MISO, a number of transmission customers have cancelled existing contracts or converted an existing contract to another type of service.  The amount of revenue credits is based on the annualization of MISO Schedule 7 and 8 revenues received during the first quarter of 2014. </t>
  </si>
  <si>
    <t>Transmission charges for all transmission transactions (1)</t>
  </si>
  <si>
    <t xml:space="preserve">January 2014 ISB Resp. Ratio </t>
  </si>
  <si>
    <t>Account Description</t>
  </si>
  <si>
    <t>(3) Form 1 Pg 300.22.b</t>
  </si>
  <si>
    <t>Total per Book 456.1 Account</t>
  </si>
  <si>
    <t>(2) Workpaper 8a</t>
  </si>
  <si>
    <t>References</t>
  </si>
  <si>
    <t>WP 13a</t>
  </si>
  <si>
    <t>353.4.f</t>
  </si>
  <si>
    <t>PTP Load Ratio Share Calculation</t>
  </si>
  <si>
    <t>TOTAL SYSTEM PTP (1)</t>
  </si>
  <si>
    <t>TOTAL SYSTEM PTP- EAI</t>
  </si>
  <si>
    <t>TOTAL SYSTEM PTP- EGSL</t>
  </si>
  <si>
    <t>TOTAL SYSTEM PTP- ELL</t>
  </si>
  <si>
    <t>TOTAL SYSTEM PTP- EMI</t>
  </si>
  <si>
    <t>TOTAL SYSTEM PTP- ENO</t>
  </si>
  <si>
    <t>TOTAL SYSTEM PTP- ETI</t>
  </si>
  <si>
    <t>BE = N+SUM(P:AE)</t>
  </si>
  <si>
    <t>BF</t>
  </si>
  <si>
    <t>BG</t>
  </si>
  <si>
    <t>BH</t>
  </si>
  <si>
    <t>BI</t>
  </si>
  <si>
    <t>BJ</t>
  </si>
  <si>
    <t>BK</t>
  </si>
  <si>
    <t>Ref</t>
  </si>
  <si>
    <t>Gross Transmission Plant in Service</t>
  </si>
  <si>
    <t>PTP Ratio Share</t>
  </si>
  <si>
    <t>Known service changes or load that sinks outside of MISO after the Dec. 19, 2013 integration into MISO.  Also see WP 10.</t>
  </si>
  <si>
    <t>SMEPA-EMI (GF) (1)</t>
  </si>
  <si>
    <t>SMEPA - PTP* (1)</t>
  </si>
  <si>
    <t>MEAM - PTP is to be directly assigned to EMI because NITS customer under MISO</t>
  </si>
  <si>
    <t>MEAM - PTP (2)</t>
  </si>
  <si>
    <t>TOTAL SYSTEM PTP- EMI (NO LONGER ENTERGY LOAD) (3)</t>
  </si>
  <si>
    <t>TOTAL LOAD FOR EMI (4)</t>
  </si>
  <si>
    <t>Known service changes or load that sinks outside of MISO after the Dec. 19, 2013 integration into MISO.  Also see WP 10a.</t>
  </si>
  <si>
    <t>Form 1 Pg 400 footnote.</t>
  </si>
  <si>
    <t>The SMEPA GF and PTP sales have been excluded from the EMI divisor because sales data for these transactions will be included in the Attachment O data provided by SMEPA to MISO</t>
  </si>
  <si>
    <t>Index to Attachment O Workpapers</t>
  </si>
  <si>
    <r>
      <t>-</t>
    </r>
    <r>
      <rPr>
        <sz val="7"/>
        <color theme="1"/>
        <rFont val="Times New Roman"/>
        <family val="1"/>
      </rPr>
      <t xml:space="preserve">        </t>
    </r>
    <r>
      <rPr>
        <sz val="11"/>
        <color theme="1"/>
        <rFont val="Calibri"/>
        <family val="2"/>
        <scheme val="minor"/>
      </rPr>
      <t>WP 1: Summary of Data used in Attachment O Rate Formula Template</t>
    </r>
  </si>
  <si>
    <r>
      <t>-</t>
    </r>
    <r>
      <rPr>
        <sz val="7"/>
        <color theme="1"/>
        <rFont val="Times New Roman"/>
        <family val="1"/>
      </rPr>
      <t xml:space="preserve">        </t>
    </r>
    <r>
      <rPr>
        <sz val="11"/>
        <color theme="1"/>
        <rFont val="Calibri"/>
        <family val="2"/>
        <scheme val="minor"/>
      </rPr>
      <t>WP 2: ADIT FAS 109 Offset</t>
    </r>
  </si>
  <si>
    <r>
      <t>-</t>
    </r>
    <r>
      <rPr>
        <sz val="7"/>
        <color theme="1"/>
        <rFont val="Times New Roman"/>
        <family val="1"/>
      </rPr>
      <t xml:space="preserve">        </t>
    </r>
    <r>
      <rPr>
        <sz val="11"/>
        <color theme="1"/>
        <rFont val="Calibri"/>
        <family val="2"/>
        <scheme val="minor"/>
      </rPr>
      <t>WP 3: Land Held for Future Use</t>
    </r>
  </si>
  <si>
    <r>
      <t>-</t>
    </r>
    <r>
      <rPr>
        <sz val="7"/>
        <color theme="1"/>
        <rFont val="Times New Roman"/>
        <family val="1"/>
      </rPr>
      <t xml:space="preserve">        </t>
    </r>
    <r>
      <rPr>
        <sz val="11"/>
        <color theme="1"/>
        <rFont val="Calibri"/>
        <family val="2"/>
        <scheme val="minor"/>
      </rPr>
      <t>WP 4: EPRI Research Detail</t>
    </r>
  </si>
  <si>
    <r>
      <t>-</t>
    </r>
    <r>
      <rPr>
        <sz val="7"/>
        <color theme="1"/>
        <rFont val="Times New Roman"/>
        <family val="1"/>
      </rPr>
      <t xml:space="preserve">        </t>
    </r>
    <r>
      <rPr>
        <sz val="11"/>
        <color theme="1"/>
        <rFont val="Calibri"/>
        <family val="2"/>
        <scheme val="minor"/>
      </rPr>
      <t>WP 5: Excess Deferred Income Tax &amp; Tax Effect of Permanent Differences</t>
    </r>
  </si>
  <si>
    <r>
      <t>-</t>
    </r>
    <r>
      <rPr>
        <sz val="7"/>
        <color theme="1"/>
        <rFont val="Times New Roman"/>
        <family val="1"/>
      </rPr>
      <t xml:space="preserve">        </t>
    </r>
    <r>
      <rPr>
        <sz val="11"/>
        <color theme="1"/>
        <rFont val="Calibri"/>
        <family val="2"/>
        <scheme val="minor"/>
      </rPr>
      <t>WP 6: Transmission Plant in Service</t>
    </r>
  </si>
  <si>
    <r>
      <t>-</t>
    </r>
    <r>
      <rPr>
        <sz val="7"/>
        <color theme="1"/>
        <rFont val="Times New Roman"/>
        <family val="1"/>
      </rPr>
      <t xml:space="preserve">        </t>
    </r>
    <r>
      <rPr>
        <sz val="11"/>
        <color theme="1"/>
        <rFont val="Calibri"/>
        <family val="2"/>
        <scheme val="minor"/>
      </rPr>
      <t>WP 7: Account 454 Rent from Electric Property Functionalization</t>
    </r>
  </si>
  <si>
    <r>
      <t>-</t>
    </r>
    <r>
      <rPr>
        <sz val="7"/>
        <color theme="1"/>
        <rFont val="Times New Roman"/>
        <family val="1"/>
      </rPr>
      <t xml:space="preserve">        </t>
    </r>
    <r>
      <rPr>
        <sz val="11"/>
        <color theme="1"/>
        <rFont val="Calibri"/>
        <family val="2"/>
        <scheme val="minor"/>
      </rPr>
      <t>WP 8: Account 456 – Other Electric Revenues</t>
    </r>
  </si>
  <si>
    <r>
      <t>-</t>
    </r>
    <r>
      <rPr>
        <sz val="7"/>
        <color theme="1"/>
        <rFont val="Times New Roman"/>
        <family val="1"/>
      </rPr>
      <t xml:space="preserve">        </t>
    </r>
    <r>
      <rPr>
        <sz val="11"/>
        <color theme="1"/>
        <rFont val="Calibri"/>
        <family val="2"/>
        <scheme val="minor"/>
      </rPr>
      <t>WP 9: Transmission Facility Credits</t>
    </r>
  </si>
  <si>
    <t>-      WP 10: Attachment O Denominator</t>
  </si>
  <si>
    <t>-      WP 11: Income Tax Rates</t>
  </si>
  <si>
    <r>
      <t>-</t>
    </r>
    <r>
      <rPr>
        <sz val="7"/>
        <color theme="1"/>
        <rFont val="Times New Roman"/>
        <family val="1"/>
      </rPr>
      <t xml:space="preserve">        </t>
    </r>
    <r>
      <rPr>
        <sz val="11"/>
        <color theme="1"/>
        <rFont val="Calibri"/>
        <family val="2"/>
        <scheme val="minor"/>
      </rPr>
      <t>WP 12: Taxes Other Than Income Tax Charged By Affiliates</t>
    </r>
  </si>
  <si>
    <r>
      <t>-</t>
    </r>
    <r>
      <rPr>
        <sz val="7"/>
        <color theme="1"/>
        <rFont val="Times New Roman"/>
        <family val="1"/>
      </rPr>
      <t xml:space="preserve">        </t>
    </r>
    <r>
      <rPr>
        <sz val="11"/>
        <color theme="1"/>
        <rFont val="Calibri"/>
        <family val="2"/>
        <scheme val="minor"/>
      </rPr>
      <t>WP 13: Supplemental Transmission Upgrade Revenue Requirement</t>
    </r>
  </si>
  <si>
    <r>
      <t>-</t>
    </r>
    <r>
      <rPr>
        <sz val="7"/>
        <color theme="1"/>
        <rFont val="Times New Roman"/>
        <family val="1"/>
      </rPr>
      <t xml:space="preserve">        </t>
    </r>
    <r>
      <rPr>
        <sz val="11"/>
        <color theme="1"/>
        <rFont val="Calibri"/>
        <family val="2"/>
        <scheme val="minor"/>
      </rPr>
      <t>WP 14: Schedule 1 Revenues</t>
    </r>
  </si>
  <si>
    <r>
      <t>-</t>
    </r>
    <r>
      <rPr>
        <sz val="7"/>
        <color theme="1"/>
        <rFont val="Times New Roman"/>
        <family val="1"/>
      </rPr>
      <t xml:space="preserve">        </t>
    </r>
    <r>
      <rPr>
        <sz val="11"/>
        <color theme="1"/>
        <rFont val="Calibri"/>
        <family val="2"/>
        <scheme val="minor"/>
      </rPr>
      <t>WP 15: MISO Start-Up Costs</t>
    </r>
  </si>
  <si>
    <r>
      <t>-</t>
    </r>
    <r>
      <rPr>
        <sz val="7"/>
        <color theme="1"/>
        <rFont val="Times New Roman"/>
        <family val="1"/>
      </rPr>
      <t xml:space="preserve">        </t>
    </r>
    <r>
      <rPr>
        <sz val="11"/>
        <color theme="1"/>
        <rFont val="Calibri"/>
        <family val="2"/>
        <scheme val="minor"/>
      </rPr>
      <t>WP 16: ITC Transaction Costs</t>
    </r>
  </si>
  <si>
    <r>
      <t>-</t>
    </r>
    <r>
      <rPr>
        <sz val="7"/>
        <color theme="1"/>
        <rFont val="Times New Roman"/>
        <family val="1"/>
      </rPr>
      <t xml:space="preserve">        </t>
    </r>
    <r>
      <rPr>
        <sz val="11"/>
        <color theme="1"/>
        <rFont val="Calibri"/>
        <family val="2"/>
        <scheme val="minor"/>
      </rPr>
      <t>WP 17: Schedule 24 Recoverable Costs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</si>
</sst>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9">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00_)"/>
    <numFmt numFmtId="166" formatCode="m&quot;¤ë&quot;d&quot;¤é&quot;"/>
    <numFmt numFmtId="167" formatCode="00000"/>
    <numFmt numFmtId="168" formatCode="_-* #,##0.0_-;\-* #,##0.0_-;_-* &quot;-&quot;??_-;_-@_-"/>
    <numFmt numFmtId="169" formatCode="0.00_)"/>
    <numFmt numFmtId="170" formatCode="###,###,##0,;\(###,###,##0,\);0"/>
    <numFmt numFmtId="171" formatCode="&quot;£&quot;#,##0;\-&quot;£&quot;#,##0"/>
    <numFmt numFmtId="172" formatCode="[$-409]mmmm\ d\,\ yyyy;@"/>
    <numFmt numFmtId="173" formatCode="_(* #,##0.00000_);_(* \(#,##0.00000\);_(* &quot;-&quot;??_);_(@_)"/>
    <numFmt numFmtId="174" formatCode="[$-409]mmm\-yy;@"/>
    <numFmt numFmtId="175" formatCode="&quot;$&quot;#,##0.00"/>
    <numFmt numFmtId="176" formatCode="&quot;$&quot;#,##0.0"/>
    <numFmt numFmtId="177" formatCode="#,##0.0_);\(#,##0.0\)"/>
    <numFmt numFmtId="178" formatCode="0.00000"/>
    <numFmt numFmtId="179" formatCode="0.000%"/>
    <numFmt numFmtId="180" formatCode="0.0000"/>
    <numFmt numFmtId="181" formatCode="0.0%_);\(0.0%\)"/>
    <numFmt numFmtId="182" formatCode="\•\ \ @"/>
    <numFmt numFmtId="183" formatCode="#,##0,_);\(#,##0,\)"/>
    <numFmt numFmtId="184" formatCode="0.0,_);\(0.0,\)"/>
    <numFmt numFmtId="185" formatCode="0.00,_);\(0.00,\)"/>
    <numFmt numFmtId="186" formatCode="#,##0.000_);\(#,##0.000\)"/>
    <numFmt numFmtId="187" formatCode="_._.* #,##0.0_)_%;_._.* \(#,##0.0\)_%;_._.* \ ?_)_%"/>
    <numFmt numFmtId="188" formatCode="_._.* #,##0.00_)_%;_._.* \(#,##0.00\)_%;_._.* \ ?_)_%"/>
    <numFmt numFmtId="189" formatCode="_._.* #,##0.000_)_%;_._.* \(#,##0.000\)_%;_._.* \ ?_)_%"/>
    <numFmt numFmtId="190" formatCode="_._.* #,##0.0000_)_%;_._.* \(#,##0.0000\)_%;_._.* \ ?_)_%"/>
    <numFmt numFmtId="191" formatCode="_._.&quot;$&quot;* #,##0.0_)_%;_._.&quot;$&quot;* \(#,##0.0\)_%;_._.&quot;$&quot;* \ ?_)_%"/>
    <numFmt numFmtId="192" formatCode="_._.&quot;$&quot;* #,##0.00_)_%;_._.&quot;$&quot;* \(#,##0.00\)_%;_._.&quot;$&quot;* \ ?_)_%"/>
    <numFmt numFmtId="193" formatCode="_._.&quot;$&quot;* #,##0.000_)_%;_._.&quot;$&quot;* \(#,##0.000\)_%;_._.&quot;$&quot;* \ ?_)_%"/>
    <numFmt numFmtId="194" formatCode="_._.&quot;$&quot;* #,##0.0000_)_%;_._.&quot;$&quot;* \(#,##0.0000\)_%;_._.&quot;$&quot;* \ ?_)_%"/>
    <numFmt numFmtId="195" formatCode="&quot;$&quot;#,##0,_);\(&quot;$&quot;#,##0,\)"/>
    <numFmt numFmtId="196" formatCode="&quot;$&quot;#,##0.0_);\(&quot;$&quot;#,##0.0\)"/>
    <numFmt numFmtId="197" formatCode="&quot;$&quot;0.0,_);\(&quot;$&quot;0.0,\)"/>
    <numFmt numFmtId="198" formatCode="&quot;$&quot;0.00,_);\(&quot;$&quot;0.00,\)"/>
    <numFmt numFmtId="199" formatCode="&quot;$&quot;#,##0.000_);\(&quot;$&quot;#,##0.000\)"/>
    <numFmt numFmtId="200" formatCode="#,##0.0\x_);\(#,##0.0\x\)"/>
    <numFmt numFmtId="201" formatCode="#,##0.00\x_);\(#,##0.00\x\)"/>
    <numFmt numFmtId="202" formatCode="[$€-2]\ #,##0_);\([$€-2]\ #,##0\)"/>
    <numFmt numFmtId="203" formatCode="[$€-2]\ #,##0.0_);\([$€-2]\ #,##0.0\)"/>
    <numFmt numFmtId="204" formatCode="_([$€-2]* #,##0.00_);_([$€-2]* \(#,##0.00\);_([$€-2]* &quot;-&quot;??_)"/>
    <numFmt numFmtId="205" formatCode="#,##0\x;\(#,##0\x\)"/>
    <numFmt numFmtId="206" formatCode="0.0\x;\(0.0\x\)"/>
    <numFmt numFmtId="207" formatCode="#,##0.00\x;\(#,##0.00\x\)"/>
    <numFmt numFmtId="208" formatCode="#,##0.000\x;\(#,##0.000\x\)"/>
    <numFmt numFmtId="209" formatCode="0.0_);\(0.0\)"/>
    <numFmt numFmtId="210" formatCode="0%;\(0%\)"/>
    <numFmt numFmtId="211" formatCode="0.0%;\(0.0%\)"/>
    <numFmt numFmtId="212" formatCode="0.00%_);\(0.00%\)"/>
    <numFmt numFmtId="213" formatCode="0.000%_);\(0.000%\)"/>
    <numFmt numFmtId="214" formatCode="_(0_)%;\(0\)%;\ \ ?_)%"/>
    <numFmt numFmtId="215" formatCode="_._._(* 0_)%;_._.* \(0\)%;_._._(* \ ?_)%"/>
    <numFmt numFmtId="216" formatCode="_(0.0_)%;\(0.0\)%;\ \ ?_)%"/>
    <numFmt numFmtId="217" formatCode="_._._(* 0.0_)%;_._.* \(0.0\)%;_._._(* \ ?_)%"/>
    <numFmt numFmtId="218" formatCode="_(0.00_)%;\(0.00\)%;\ \ ?_)%"/>
    <numFmt numFmtId="219" formatCode="_._._(* 0.00_)%;_._.* \(0.00\)%;_._._(* \ ?_)%"/>
    <numFmt numFmtId="220" formatCode="_(0.000_)%;\(0.000\)%;\ \ ?_)%"/>
    <numFmt numFmtId="221" formatCode="_._._(* 0.000_)%;_._.* \(0.000\)%;_._._(* \ ?_)%"/>
    <numFmt numFmtId="222" formatCode="_(0.0000_)%;\(0.0000\)%;\ \ ?_)%"/>
    <numFmt numFmtId="223" formatCode="_._._(* 0.0000_)%;_._.* \(0.0000\)%;_._._(* \ ?_)%"/>
    <numFmt numFmtId="224" formatCode="0.0%"/>
    <numFmt numFmtId="225" formatCode="_(* #,##0_);_(* \(#,##0\);_(* \ ?_)"/>
    <numFmt numFmtId="226" formatCode="_(* #,##0.0_);_(* \(#,##0.0\);_(* \ ?_)"/>
    <numFmt numFmtId="227" formatCode="_(* #,##0.00_);_(* \(#,##0.00\);_(* \ ?_)"/>
    <numFmt numFmtId="228" formatCode="_(* #,##0.000_);_(* \(#,##0.000\);_(* \ ?_)"/>
    <numFmt numFmtId="229" formatCode="_(&quot;$&quot;* #,##0_);_(&quot;$&quot;* \(#,##0\);_(&quot;$&quot;* \ ?_)"/>
    <numFmt numFmtId="230" formatCode="_(&quot;$&quot;* #,##0.0_);_(&quot;$&quot;* \(#,##0.0\);_(&quot;$&quot;* \ ?_)"/>
    <numFmt numFmtId="231" formatCode="_(&quot;$&quot;* #,##0.00_);_(&quot;$&quot;* \(#,##0.00\);_(&quot;$&quot;* \ ?_)"/>
    <numFmt numFmtId="232" formatCode="_(&quot;$&quot;* #,##0.000_);_(&quot;$&quot;* \(#,##0.000\);_(&quot;$&quot;* \ ?_)"/>
    <numFmt numFmtId="233" formatCode="0000&quot;A&quot;"/>
    <numFmt numFmtId="234" formatCode="0&quot;E&quot;"/>
    <numFmt numFmtId="235" formatCode="0000&quot;E&quot;"/>
    <numFmt numFmtId="236" formatCode="yyyy/mm"/>
  </numFmts>
  <fonts count="95">
    <font>
      <sz val="11"/>
      <color theme="1"/>
      <name val="Calibri"/>
      <family val="2"/>
      <scheme val="minor"/>
    </font>
    <font>
      <sz val="10"/>
      <color theme="1"/>
      <name val="Arial"/>
      <family val="2"/>
    </font>
    <font>
      <sz val="10"/>
      <color theme="1"/>
      <name val="Arial"/>
      <family val="2"/>
    </font>
    <font>
      <sz val="10"/>
      <color theme="1"/>
      <name val="Arial"/>
      <family val="2"/>
    </font>
    <font>
      <sz val="11"/>
      <color indexed="8"/>
      <name val="Calibri"/>
      <family val="2"/>
    </font>
    <font>
      <sz val="11"/>
      <color indexed="8"/>
      <name val="Calibri"/>
      <family val="2"/>
    </font>
    <font>
      <sz val="11"/>
      <color indexed="8"/>
      <name val="Calibri"/>
      <family val="2"/>
    </font>
    <font>
      <b/>
      <sz val="10"/>
      <name val="Arial"/>
      <family val="2"/>
    </font>
    <font>
      <sz val="10"/>
      <name val="Arial"/>
      <family val="2"/>
    </font>
    <font>
      <sz val="12"/>
      <name val="Tms Rmn"/>
    </font>
    <font>
      <sz val="11"/>
      <name val="Tms Rmn"/>
    </font>
    <font>
      <sz val="10"/>
      <color indexed="8"/>
      <name val="Arial"/>
      <family val="2"/>
    </font>
    <font>
      <sz val="10"/>
      <name val="Helv"/>
    </font>
    <font>
      <sz val="11"/>
      <name val="Book Antiqua"/>
      <family val="1"/>
    </font>
    <font>
      <sz val="10"/>
      <name val="Courier"/>
      <family val="3"/>
    </font>
    <font>
      <sz val="8"/>
      <name val="Arial"/>
      <family val="2"/>
    </font>
    <font>
      <b/>
      <sz val="10"/>
      <name val="Times New Roman"/>
      <family val="1"/>
    </font>
    <font>
      <b/>
      <sz val="12"/>
      <name val="Arial"/>
      <family val="2"/>
    </font>
    <font>
      <sz val="7"/>
      <name val="Small Fonts"/>
      <family val="2"/>
    </font>
    <font>
      <b/>
      <i/>
      <sz val="16"/>
      <name val="Helv"/>
    </font>
    <font>
      <sz val="9"/>
      <name val="Arial"/>
      <family val="2"/>
    </font>
    <font>
      <sz val="10"/>
      <name val="MS Sans Serif"/>
      <family val="2"/>
    </font>
    <font>
      <sz val="14"/>
      <name val="Times New Roman"/>
      <family val="1"/>
    </font>
    <font>
      <b/>
      <sz val="10"/>
      <name val="MS Sans Serif"/>
      <family val="2"/>
    </font>
    <font>
      <b/>
      <sz val="10"/>
      <color indexed="10"/>
      <name val="Arial"/>
      <family val="2"/>
    </font>
    <font>
      <b/>
      <sz val="11"/>
      <name val="Times New Roman"/>
      <family val="1"/>
    </font>
    <font>
      <i/>
      <sz val="10"/>
      <name val="Arial"/>
      <family val="2"/>
    </font>
    <font>
      <b/>
      <sz val="11"/>
      <color indexed="8"/>
      <name val="Calibri"/>
      <family val="2"/>
    </font>
    <font>
      <u/>
      <sz val="11"/>
      <color indexed="8"/>
      <name val="Calibri"/>
      <family val="2"/>
    </font>
    <font>
      <b/>
      <u/>
      <sz val="11"/>
      <color indexed="8"/>
      <name val="Calibri"/>
      <family val="2"/>
    </font>
    <font>
      <sz val="10"/>
      <color indexed="8"/>
      <name val="Tahoma"/>
      <family val="2"/>
    </font>
    <font>
      <sz val="10"/>
      <color indexed="8"/>
      <name val="Arial"/>
      <family val="2"/>
    </font>
    <font>
      <b/>
      <sz val="10"/>
      <color indexed="8"/>
      <name val="Arial"/>
      <family val="2"/>
    </font>
    <font>
      <b/>
      <u/>
      <sz val="10"/>
      <name val="Arial"/>
      <family val="2"/>
    </font>
    <font>
      <u/>
      <sz val="10"/>
      <color indexed="8"/>
      <name val="Arial"/>
      <family val="2"/>
    </font>
    <font>
      <sz val="12"/>
      <name val="Arial"/>
      <family val="2"/>
    </font>
    <font>
      <sz val="8"/>
      <name val="Calibri"/>
      <family val="2"/>
    </font>
    <font>
      <sz val="11"/>
      <color theme="1"/>
      <name val="Calibri"/>
      <family val="2"/>
      <scheme val="minor"/>
    </font>
    <font>
      <sz val="10"/>
      <color theme="1"/>
      <name val="Tahoma"/>
      <family val="2"/>
    </font>
    <font>
      <sz val="10"/>
      <color theme="1"/>
      <name val="Arial"/>
      <family val="2"/>
    </font>
    <font>
      <sz val="10"/>
      <name val="Arial MT"/>
    </font>
    <font>
      <b/>
      <sz val="11"/>
      <name val="Arial"/>
      <family val="2"/>
    </font>
    <font>
      <b/>
      <sz val="10"/>
      <name val="Arial MT"/>
    </font>
    <font>
      <sz val="12"/>
      <name val="Arial MT"/>
    </font>
    <font>
      <b/>
      <sz val="9"/>
      <name val="Arial MT"/>
    </font>
    <font>
      <b/>
      <sz val="10"/>
      <color theme="1"/>
      <name val="Arial"/>
      <family val="2"/>
    </font>
    <font>
      <sz val="11"/>
      <name val="Times New Roman"/>
      <family val="1"/>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b/>
      <sz val="14"/>
      <name val="Arial"/>
      <family val="2"/>
    </font>
    <font>
      <b/>
      <i/>
      <sz val="14"/>
      <name val="Arial"/>
      <family val="2"/>
    </font>
    <font>
      <b/>
      <sz val="24"/>
      <name val="Arial Narrow"/>
      <family val="2"/>
    </font>
    <font>
      <b/>
      <i/>
      <sz val="12"/>
      <name val="Arial"/>
      <family val="2"/>
    </font>
    <font>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u val="singleAccounting"/>
      <sz val="11"/>
      <name val="Times New Roman"/>
      <family val="1"/>
    </font>
    <font>
      <i/>
      <sz val="8"/>
      <name val="Arial"/>
      <family val="2"/>
    </font>
    <font>
      <sz val="10"/>
      <name val="Book Antiqua"/>
      <family val="1"/>
    </font>
    <font>
      <sz val="10"/>
      <color indexed="42"/>
      <name val="Arial"/>
      <family val="2"/>
    </font>
    <font>
      <b/>
      <sz val="14"/>
      <name val="Book Antiqua"/>
      <family val="1"/>
    </font>
    <font>
      <i/>
      <sz val="10"/>
      <name val="Book Antiqua"/>
      <family val="1"/>
    </font>
    <font>
      <b/>
      <sz val="10"/>
      <color indexed="22"/>
      <name val="Arial"/>
      <family val="2"/>
    </font>
    <font>
      <sz val="8"/>
      <color indexed="22"/>
      <name val="Arial"/>
      <family val="2"/>
    </font>
    <font>
      <b/>
      <sz val="10"/>
      <color indexed="12"/>
      <name val="Arial"/>
      <family val="2"/>
    </font>
    <font>
      <sz val="10"/>
      <color indexed="12"/>
      <name val="Book Antiqua"/>
      <family val="1"/>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sz val="9"/>
      <name val="Times New Roman"/>
      <family val="1"/>
    </font>
    <font>
      <sz val="10"/>
      <color indexed="21"/>
      <name val="Arial"/>
      <family val="2"/>
    </font>
    <font>
      <b/>
      <sz val="8"/>
      <name val="Arial"/>
      <family val="2"/>
    </font>
    <font>
      <b/>
      <u/>
      <sz val="10"/>
      <color theme="1"/>
      <name val="Arial"/>
      <family val="2"/>
    </font>
    <font>
      <sz val="10"/>
      <color rgb="FF000000"/>
      <name val="Arial"/>
      <family val="2"/>
    </font>
    <font>
      <sz val="10"/>
      <name val="Arial"/>
      <family val="2"/>
    </font>
    <font>
      <b/>
      <sz val="11"/>
      <color theme="1"/>
      <name val="Calibri"/>
      <family val="2"/>
      <scheme val="minor"/>
    </font>
    <font>
      <u/>
      <sz val="10"/>
      <name val="Arial"/>
      <family val="2"/>
    </font>
    <font>
      <sz val="10"/>
      <name val="Arial"/>
      <family val="2"/>
    </font>
    <font>
      <b/>
      <i/>
      <sz val="10"/>
      <name val="Arial"/>
      <family val="2"/>
    </font>
    <font>
      <b/>
      <u val="singleAccounting"/>
      <sz val="10"/>
      <color indexed="8"/>
      <name val="Arial"/>
      <family val="2"/>
    </font>
    <font>
      <i/>
      <sz val="10"/>
      <name val="Segoe UI"/>
      <family val="2"/>
    </font>
    <font>
      <sz val="7"/>
      <color theme="1"/>
      <name val="Times New Roman"/>
      <family val="1"/>
    </font>
  </fonts>
  <fills count="13">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theme="4" tint="0.79998168889431442"/>
        <bgColor indexed="64"/>
      </patternFill>
    </fill>
    <fill>
      <patternFill patternType="solid">
        <fgColor indexed="53"/>
        <bgColor indexed="64"/>
      </patternFill>
    </fill>
    <fill>
      <patternFill patternType="solid">
        <fgColor indexed="39"/>
        <bgColor indexed="64"/>
      </patternFill>
    </fill>
    <fill>
      <patternFill patternType="solid">
        <fgColor indexed="38"/>
        <bgColor indexed="64"/>
      </patternFill>
    </fill>
    <fill>
      <patternFill patternType="solid">
        <fgColor indexed="13"/>
        <bgColor indexed="64"/>
      </patternFill>
    </fill>
    <fill>
      <patternFill patternType="solid">
        <fgColor indexed="47"/>
        <bgColor indexed="64"/>
      </patternFill>
    </fill>
  </fills>
  <borders count="42">
    <border>
      <left/>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top style="double">
        <color indexed="64"/>
      </top>
      <bottom/>
      <diagonal/>
    </border>
    <border>
      <left/>
      <right/>
      <top/>
      <bottom style="hair">
        <color indexed="64"/>
      </bottom>
      <diagonal/>
    </border>
    <border>
      <left/>
      <right/>
      <top/>
      <bottom style="hair">
        <color indexed="20"/>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84">
    <xf numFmtId="0" fontId="0" fillId="0" borderId="0"/>
    <xf numFmtId="0" fontId="9" fillId="0" borderId="0" applyNumberFormat="0" applyFill="0" applyBorder="0" applyAlignment="0" applyProtection="0"/>
    <xf numFmtId="43" fontId="8" fillId="0" borderId="0" applyFont="0" applyFill="0" applyBorder="0" applyAlignment="0" applyProtection="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41" fontId="11" fillId="0" borderId="0" applyFont="0" applyFill="0" applyBorder="0" applyAlignment="0" applyProtection="0"/>
    <xf numFmtId="41" fontId="31"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 fontId="12" fillId="0" borderId="0" applyFont="0" applyFill="0" applyBorder="0" applyAlignment="0" applyProtection="0"/>
    <xf numFmtId="43" fontId="30" fillId="0" borderId="0" applyFont="0" applyFill="0" applyBorder="0" applyAlignment="0" applyProtection="0"/>
    <xf numFmtId="0" fontId="12" fillId="0" borderId="0"/>
    <xf numFmtId="166" fontId="8" fillId="0" borderId="0" applyFont="0" applyFill="0" applyBorder="0" applyAlignment="0" applyProtection="0"/>
    <xf numFmtId="167" fontId="13" fillId="0" borderId="0" applyFont="0" applyFill="0" applyBorder="0" applyAlignment="0" applyProtection="0"/>
    <xf numFmtId="44" fontId="6"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8" fontId="12" fillId="0" borderId="0" applyFont="0" applyFill="0" applyBorder="0" applyAlignment="0" applyProtection="0"/>
    <xf numFmtId="44" fontId="31" fillId="0" borderId="0" applyFont="0" applyFill="0" applyBorder="0" applyAlignment="0" applyProtection="0"/>
    <xf numFmtId="0" fontId="14" fillId="0" borderId="0">
      <alignment horizontal="left"/>
    </xf>
    <xf numFmtId="164" fontId="13" fillId="0" borderId="0" applyFont="0" applyFill="0" applyBorder="0" applyAlignment="0" applyProtection="0"/>
    <xf numFmtId="168" fontId="8" fillId="0" borderId="0" applyFont="0" applyFill="0" applyBorder="0" applyAlignment="0" applyProtection="0">
      <alignment horizontal="center"/>
    </xf>
    <xf numFmtId="164" fontId="13" fillId="0" borderId="0" applyFont="0" applyFill="0" applyBorder="0" applyAlignment="0" applyProtection="0"/>
    <xf numFmtId="38" fontId="15" fillId="2" borderId="0" applyNumberFormat="0" applyBorder="0" applyAlignment="0" applyProtection="0"/>
    <xf numFmtId="0" fontId="16" fillId="0" borderId="1">
      <alignment horizontal="left"/>
    </xf>
    <xf numFmtId="0" fontId="17" fillId="0" borderId="2" applyNumberFormat="0" applyAlignment="0" applyProtection="0">
      <alignment horizontal="left" vertical="center"/>
    </xf>
    <xf numFmtId="0" fontId="17" fillId="0" borderId="3">
      <alignment horizontal="left" vertical="center"/>
    </xf>
    <xf numFmtId="14" fontId="7" fillId="3" borderId="4">
      <alignment horizontal="center" vertical="center" wrapText="1"/>
    </xf>
    <xf numFmtId="10" fontId="15" fillId="4" borderId="5" applyNumberFormat="0" applyBorder="0" applyAlignment="0" applyProtection="0"/>
    <xf numFmtId="37" fontId="18" fillId="0" borderId="0"/>
    <xf numFmtId="169" fontId="19" fillId="0" borderId="0"/>
    <xf numFmtId="0" fontId="8" fillId="0" borderId="0"/>
    <xf numFmtId="0" fontId="20" fillId="0" borderId="0"/>
    <xf numFmtId="0" fontId="8" fillId="0" borderId="0">
      <alignment vertical="top"/>
    </xf>
    <xf numFmtId="0" fontId="38" fillId="0" borderId="0"/>
    <xf numFmtId="0" fontId="38" fillId="0" borderId="0"/>
    <xf numFmtId="0" fontId="38" fillId="0" borderId="0"/>
    <xf numFmtId="0" fontId="38" fillId="0" borderId="0"/>
    <xf numFmtId="0" fontId="38" fillId="0" borderId="0"/>
    <xf numFmtId="0" fontId="8" fillId="0" borderId="0"/>
    <xf numFmtId="0" fontId="8" fillId="0" borderId="0"/>
    <xf numFmtId="0" fontId="38" fillId="0" borderId="0"/>
    <xf numFmtId="0" fontId="6" fillId="0" borderId="0"/>
    <xf numFmtId="0" fontId="4" fillId="0" borderId="0"/>
    <xf numFmtId="0" fontId="4" fillId="0" borderId="0"/>
    <xf numFmtId="0" fontId="8" fillId="0" borderId="0">
      <alignment vertical="top"/>
    </xf>
    <xf numFmtId="0" fontId="8" fillId="0" borderId="0"/>
    <xf numFmtId="0" fontId="14" fillId="0" borderId="0"/>
    <xf numFmtId="0" fontId="8" fillId="0" borderId="0"/>
    <xf numFmtId="0" fontId="11" fillId="0" borderId="0"/>
    <xf numFmtId="0" fontId="20" fillId="0" borderId="0"/>
    <xf numFmtId="0" fontId="39" fillId="0" borderId="0"/>
    <xf numFmtId="0" fontId="11" fillId="0" borderId="0"/>
    <xf numFmtId="0" fontId="8" fillId="0" borderId="0"/>
    <xf numFmtId="0" fontId="6" fillId="0" borderId="0"/>
    <xf numFmtId="0" fontId="6" fillId="0" borderId="0"/>
    <xf numFmtId="0" fontId="4" fillId="0" borderId="0"/>
    <xf numFmtId="0" fontId="8" fillId="0" borderId="0">
      <alignment vertical="top"/>
    </xf>
    <xf numFmtId="0" fontId="8" fillId="0" borderId="0">
      <alignment vertical="top"/>
    </xf>
    <xf numFmtId="0" fontId="8" fillId="0" borderId="0">
      <alignment vertical="top"/>
    </xf>
    <xf numFmtId="0" fontId="37" fillId="0" borderId="0"/>
    <xf numFmtId="0" fontId="37" fillId="0" borderId="0"/>
    <xf numFmtId="0" fontId="4" fillId="0" borderId="0"/>
    <xf numFmtId="0" fontId="21" fillId="0" borderId="0"/>
    <xf numFmtId="0" fontId="6" fillId="0" borderId="0"/>
    <xf numFmtId="0" fontId="21" fillId="0" borderId="0"/>
    <xf numFmtId="0" fontId="21" fillId="0" borderId="0"/>
    <xf numFmtId="170" fontId="22" fillId="5" borderId="0"/>
    <xf numFmtId="0" fontId="12" fillId="0" borderId="0"/>
    <xf numFmtId="171" fontId="21" fillId="0" borderId="0" applyFont="0" applyFill="0" applyBorder="0" applyAlignment="0" applyProtection="0"/>
    <xf numFmtId="10" fontId="8"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15"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3" fillId="0" borderId="4">
      <alignment horizontal="center"/>
    </xf>
    <xf numFmtId="3" fontId="21" fillId="0" borderId="0" applyFont="0" applyFill="0" applyBorder="0" applyAlignment="0" applyProtection="0"/>
    <xf numFmtId="0" fontId="21" fillId="6" borderId="0" applyNumberFormat="0" applyFont="0" applyBorder="0" applyAlignment="0" applyProtection="0"/>
    <xf numFmtId="0" fontId="8" fillId="0" borderId="0" applyNumberFormat="0" applyFill="0" applyBorder="0" applyAlignment="0" applyProtection="0"/>
    <xf numFmtId="0" fontId="24" fillId="0" borderId="0" applyFill="0" applyBorder="0" applyProtection="0">
      <alignment horizontal="left" vertical="top"/>
    </xf>
    <xf numFmtId="40" fontId="25" fillId="0" borderId="0"/>
    <xf numFmtId="43" fontId="37" fillId="0" borderId="0" applyFont="0" applyFill="0" applyBorder="0" applyAlignment="0" applyProtection="0"/>
    <xf numFmtId="175" fontId="43" fillId="0" borderId="0" applyProtection="0"/>
    <xf numFmtId="0" fontId="8" fillId="0" borderId="0">
      <alignment vertical="top"/>
    </xf>
    <xf numFmtId="44" fontId="8" fillId="0" borderId="0" applyFont="0" applyFill="0" applyBorder="0" applyAlignment="0" applyProtection="0"/>
    <xf numFmtId="9" fontId="43" fillId="0" borderId="0" applyFont="0" applyFill="0" applyBorder="0" applyAlignment="0" applyProtection="0"/>
    <xf numFmtId="0" fontId="8" fillId="0" borderId="0"/>
    <xf numFmtId="181" fontId="8" fillId="8" borderId="0" applyNumberFormat="0" applyFill="0" applyBorder="0" applyAlignment="0" applyProtection="0">
      <alignment horizontal="right" vertical="center"/>
    </xf>
    <xf numFmtId="181" fontId="47" fillId="0" borderId="0" applyNumberFormat="0" applyFill="0" applyBorder="0" applyAlignment="0" applyProtection="0"/>
    <xf numFmtId="0" fontId="8" fillId="0" borderId="7" applyNumberFormat="0" applyFont="0" applyFill="0" applyAlignment="0" applyProtection="0"/>
    <xf numFmtId="182" fontId="48" fillId="0" borderId="0" applyFont="0" applyFill="0" applyBorder="0" applyAlignment="0" applyProtection="0"/>
    <xf numFmtId="37" fontId="49" fillId="0" borderId="0" applyFont="0" applyFill="0" applyBorder="0" applyAlignment="0" applyProtection="0">
      <alignment vertical="center"/>
      <protection locked="0"/>
    </xf>
    <xf numFmtId="183" fontId="50" fillId="0" borderId="0" applyFont="0" applyFill="0" applyBorder="0" applyAlignment="0" applyProtection="0"/>
    <xf numFmtId="0" fontId="51" fillId="0" borderId="0"/>
    <xf numFmtId="175" fontId="15" fillId="0" borderId="0" applyFill="0"/>
    <xf numFmtId="175" fontId="15" fillId="0" borderId="0">
      <alignment horizontal="center"/>
    </xf>
    <xf numFmtId="0" fontId="15" fillId="0" borderId="0" applyFill="0">
      <alignment horizontal="center"/>
    </xf>
    <xf numFmtId="175" fontId="52" fillId="0" borderId="27" applyFill="0"/>
    <xf numFmtId="0" fontId="8" fillId="0" borderId="0" applyFont="0" applyAlignment="0"/>
    <xf numFmtId="0" fontId="53" fillId="0" borderId="0" applyFill="0">
      <alignment vertical="top"/>
    </xf>
    <xf numFmtId="0" fontId="52" fillId="0" borderId="0" applyFill="0">
      <alignment horizontal="left" vertical="top"/>
    </xf>
    <xf numFmtId="175" fontId="17" fillId="0" borderId="20" applyFill="0"/>
    <xf numFmtId="0" fontId="8" fillId="0" borderId="0" applyNumberFormat="0" applyFont="0" applyAlignment="0"/>
    <xf numFmtId="0" fontId="53" fillId="0" borderId="0" applyFill="0">
      <alignment wrapText="1"/>
    </xf>
    <xf numFmtId="0" fontId="52" fillId="0" borderId="0" applyFill="0">
      <alignment horizontal="left" vertical="top" wrapText="1"/>
    </xf>
    <xf numFmtId="175" fontId="41" fillId="0" borderId="0" applyFill="0"/>
    <xf numFmtId="0" fontId="54" fillId="0" borderId="0" applyNumberFormat="0" applyFont="0" applyAlignment="0">
      <alignment horizontal="center"/>
    </xf>
    <xf numFmtId="0" fontId="55" fillId="0" borderId="0" applyFill="0">
      <alignment vertical="top" wrapText="1"/>
    </xf>
    <xf numFmtId="0" fontId="17" fillId="0" borderId="0" applyFill="0">
      <alignment horizontal="left" vertical="top" wrapText="1"/>
    </xf>
    <xf numFmtId="175" fontId="8" fillId="0" borderId="0" applyFill="0"/>
    <xf numFmtId="0" fontId="54" fillId="0" borderId="0" applyNumberFormat="0" applyFont="0" applyAlignment="0">
      <alignment horizontal="center"/>
    </xf>
    <xf numFmtId="0" fontId="56" fillId="0" borderId="0" applyFill="0">
      <alignment vertical="center" wrapText="1"/>
    </xf>
    <xf numFmtId="0" fontId="35" fillId="0" borderId="0">
      <alignment horizontal="left" vertical="center" wrapText="1"/>
    </xf>
    <xf numFmtId="175" fontId="20" fillId="0" borderId="0" applyFill="0"/>
    <xf numFmtId="0" fontId="54" fillId="0" borderId="0" applyNumberFormat="0" applyFont="0" applyAlignment="0">
      <alignment horizontal="center"/>
    </xf>
    <xf numFmtId="0" fontId="26" fillId="0" borderId="0" applyFill="0">
      <alignment horizontal="center" vertical="center" wrapText="1"/>
    </xf>
    <xf numFmtId="0" fontId="8" fillId="0" borderId="0" applyFill="0">
      <alignment horizontal="center" vertical="center" wrapText="1"/>
    </xf>
    <xf numFmtId="175" fontId="57" fillId="0" borderId="0" applyFill="0"/>
    <xf numFmtId="0" fontId="54" fillId="0" borderId="0" applyNumberFormat="0" applyFont="0" applyAlignment="0">
      <alignment horizontal="center"/>
    </xf>
    <xf numFmtId="0" fontId="58" fillId="0" borderId="0" applyFill="0">
      <alignment horizontal="center" vertical="center" wrapText="1"/>
    </xf>
    <xf numFmtId="0" fontId="59" fillId="0" borderId="0" applyFill="0">
      <alignment horizontal="center" vertical="center" wrapText="1"/>
    </xf>
    <xf numFmtId="175" fontId="60" fillId="0" borderId="0" applyFill="0"/>
    <xf numFmtId="0" fontId="54" fillId="0" borderId="0" applyNumberFormat="0" applyFont="0" applyAlignment="0">
      <alignment horizontal="center"/>
    </xf>
    <xf numFmtId="0" fontId="61" fillId="0" borderId="0">
      <alignment horizontal="center" wrapText="1"/>
    </xf>
    <xf numFmtId="0" fontId="57" fillId="0" borderId="0" applyFill="0">
      <alignment horizontal="center" wrapText="1"/>
    </xf>
    <xf numFmtId="177" fontId="62" fillId="0" borderId="0" applyFont="0" applyFill="0" applyBorder="0" applyAlignment="0" applyProtection="0">
      <protection locked="0"/>
    </xf>
    <xf numFmtId="184" fontId="62" fillId="0" borderId="0" applyFont="0" applyFill="0" applyBorder="0" applyAlignment="0" applyProtection="0">
      <protection locked="0"/>
    </xf>
    <xf numFmtId="39" fontId="8" fillId="0" borderId="0" applyFont="0" applyFill="0" applyBorder="0" applyAlignment="0" applyProtection="0"/>
    <xf numFmtId="185" fontId="63" fillId="0" borderId="0" applyFont="0" applyFill="0" applyBorder="0" applyAlignment="0" applyProtection="0"/>
    <xf numFmtId="186" fontId="50" fillId="0" borderId="0" applyFont="0" applyFill="0" applyBorder="0" applyAlignment="0" applyProtection="0"/>
    <xf numFmtId="0" fontId="8" fillId="0" borderId="7" applyNumberFormat="0" applyFont="0" applyFill="0" applyBorder="0" applyProtection="0">
      <alignment horizontal="centerContinuous" vertical="center"/>
    </xf>
    <xf numFmtId="0" fontId="64" fillId="0" borderId="0" applyFill="0" applyBorder="0" applyProtection="0">
      <alignment horizontal="center"/>
      <protection locked="0"/>
    </xf>
    <xf numFmtId="187" fontId="46" fillId="0" borderId="0" applyFont="0" applyFill="0" applyBorder="0" applyAlignment="0" applyProtection="0"/>
    <xf numFmtId="188" fontId="65" fillId="0" borderId="0" applyFont="0" applyFill="0" applyBorder="0" applyAlignment="0" applyProtection="0"/>
    <xf numFmtId="189" fontId="65" fillId="0" borderId="0" applyFont="0" applyFill="0" applyBorder="0" applyAlignment="0" applyProtection="0"/>
    <xf numFmtId="190" fontId="41" fillId="0" borderId="0" applyFont="0" applyFill="0" applyBorder="0" applyAlignment="0" applyProtection="0">
      <protection locked="0"/>
    </xf>
    <xf numFmtId="43" fontId="50" fillId="0" borderId="0" applyFont="0" applyFill="0" applyBorder="0" applyAlignment="0" applyProtection="0"/>
    <xf numFmtId="3" fontId="8" fillId="0" borderId="0" applyFont="0" applyFill="0" applyBorder="0" applyAlignment="0" applyProtection="0"/>
    <xf numFmtId="0" fontId="52" fillId="0" borderId="0" applyFill="0" applyBorder="0" applyAlignment="0" applyProtection="0">
      <protection locked="0"/>
    </xf>
    <xf numFmtId="191" fontId="65" fillId="0" borderId="0" applyFont="0" applyFill="0" applyBorder="0" applyAlignment="0" applyProtection="0"/>
    <xf numFmtId="192" fontId="65" fillId="0" borderId="0" applyFont="0" applyFill="0" applyBorder="0" applyAlignment="0" applyProtection="0"/>
    <xf numFmtId="193" fontId="65" fillId="0" borderId="0" applyFont="0" applyFill="0" applyBorder="0" applyAlignment="0" applyProtection="0"/>
    <xf numFmtId="194" fontId="41" fillId="0" borderId="0" applyFont="0" applyFill="0" applyBorder="0" applyAlignment="0" applyProtection="0">
      <protection locked="0"/>
    </xf>
    <xf numFmtId="44" fontId="8"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195" fontId="50" fillId="0" borderId="0" applyFont="0" applyFill="0" applyBorder="0" applyAlignment="0" applyProtection="0"/>
    <xf numFmtId="196" fontId="8" fillId="0" borderId="0" applyFont="0" applyFill="0" applyBorder="0" applyAlignment="0" applyProtection="0"/>
    <xf numFmtId="197" fontId="62" fillId="0" borderId="0" applyFont="0" applyFill="0" applyBorder="0" applyAlignment="0" applyProtection="0">
      <protection locked="0"/>
    </xf>
    <xf numFmtId="7" fontId="15" fillId="0" borderId="0" applyFont="0" applyFill="0" applyBorder="0" applyAlignment="0" applyProtection="0"/>
    <xf numFmtId="198" fontId="63" fillId="0" borderId="0" applyFont="0" applyFill="0" applyBorder="0" applyAlignment="0" applyProtection="0"/>
    <xf numFmtId="199" fontId="16" fillId="0" borderId="0" applyFont="0" applyFill="0" applyBorder="0" applyAlignment="0" applyProtection="0"/>
    <xf numFmtId="0" fontId="66" fillId="9" borderId="28" applyNumberFormat="0" applyFont="0" applyFill="0" applyAlignment="0" applyProtection="0">
      <alignment horizontal="left" indent="1"/>
    </xf>
    <xf numFmtId="14" fontId="8" fillId="0" borderId="0" applyFont="0" applyFill="0" applyBorder="0" applyAlignment="0" applyProtection="0"/>
    <xf numFmtId="5" fontId="67" fillId="0" borderId="0" applyBorder="0"/>
    <xf numFmtId="196" fontId="67" fillId="0" borderId="0" applyBorder="0"/>
    <xf numFmtId="7" fontId="67" fillId="0" borderId="0" applyBorder="0"/>
    <xf numFmtId="37" fontId="67" fillId="0" borderId="0" applyBorder="0"/>
    <xf numFmtId="177" fontId="67" fillId="0" borderId="0" applyBorder="0"/>
    <xf numFmtId="200" fontId="67" fillId="0" borderId="0" applyBorder="0"/>
    <xf numFmtId="39" fontId="67" fillId="0" borderId="0" applyBorder="0"/>
    <xf numFmtId="201" fontId="67" fillId="0" borderId="0" applyBorder="0"/>
    <xf numFmtId="7" fontId="8" fillId="0" borderId="0" applyFont="0" applyFill="0" applyBorder="0" applyAlignment="0" applyProtection="0"/>
    <xf numFmtId="202" fontId="50" fillId="0" borderId="0" applyFont="0" applyFill="0" applyBorder="0" applyAlignment="0" applyProtection="0"/>
    <xf numFmtId="203" fontId="50" fillId="0" borderId="0" applyFont="0" applyFill="0" applyAlignment="0" applyProtection="0"/>
    <xf numFmtId="202" fontId="50" fillId="0" borderId="0" applyFont="0" applyFill="0" applyBorder="0" applyAlignment="0" applyProtection="0"/>
    <xf numFmtId="204" fontId="15" fillId="0" borderId="0" applyFont="0" applyFill="0" applyBorder="0" applyAlignment="0" applyProtection="0"/>
    <xf numFmtId="2" fontId="8" fillId="0" borderId="0" applyFont="0" applyFill="0" applyBorder="0" applyAlignment="0" applyProtection="0"/>
    <xf numFmtId="177" fontId="68" fillId="0" borderId="0" applyNumberFormat="0" applyFill="0" applyBorder="0" applyAlignment="0" applyProtection="0"/>
    <xf numFmtId="0" fontId="15" fillId="0" borderId="0" applyFont="0" applyFill="0" applyBorder="0" applyAlignment="0" applyProtection="0"/>
    <xf numFmtId="0" fontId="68" fillId="0" borderId="0" applyNumberFormat="0" applyFill="0" applyBorder="0" applyAlignment="0" applyProtection="0"/>
    <xf numFmtId="0" fontId="64" fillId="0" borderId="0" applyFill="0" applyAlignment="0" applyProtection="0">
      <protection locked="0"/>
    </xf>
    <xf numFmtId="0" fontId="64" fillId="0" borderId="7" applyFill="0" applyAlignment="0" applyProtection="0">
      <protection locked="0"/>
    </xf>
    <xf numFmtId="0" fontId="69" fillId="0" borderId="4"/>
    <xf numFmtId="0" fontId="70" fillId="0" borderId="0"/>
    <xf numFmtId="0" fontId="71" fillId="0" borderId="7" applyNumberFormat="0" applyFill="0" applyAlignment="0" applyProtection="0"/>
    <xf numFmtId="0" fontId="72" fillId="10" borderId="0" applyNumberFormat="0" applyFont="0" applyBorder="0" applyAlignment="0" applyProtection="0"/>
    <xf numFmtId="0" fontId="73" fillId="11" borderId="5" applyNumberFormat="0" applyAlignment="0" applyProtection="0"/>
    <xf numFmtId="5" fontId="74" fillId="0" borderId="0" applyBorder="0"/>
    <xf numFmtId="196" fontId="74" fillId="0" borderId="0" applyBorder="0"/>
    <xf numFmtId="7" fontId="74" fillId="0" borderId="0" applyBorder="0"/>
    <xf numFmtId="37" fontId="74" fillId="0" borderId="0" applyBorder="0"/>
    <xf numFmtId="177" fontId="74" fillId="0" borderId="0" applyBorder="0"/>
    <xf numFmtId="200" fontId="74" fillId="0" borderId="0" applyBorder="0"/>
    <xf numFmtId="39" fontId="74" fillId="0" borderId="0" applyBorder="0"/>
    <xf numFmtId="201" fontId="74" fillId="0" borderId="0" applyBorder="0"/>
    <xf numFmtId="0" fontId="72" fillId="0" borderId="24" applyNumberFormat="0" applyFont="0" applyFill="0" applyAlignment="0" applyProtection="0"/>
    <xf numFmtId="205" fontId="8" fillId="0" borderId="0" applyFont="0" applyFill="0" applyBorder="0" applyAlignment="0" applyProtection="0"/>
    <xf numFmtId="206" fontId="8" fillId="0" borderId="0" applyFont="0" applyFill="0" applyBorder="0" applyAlignment="0" applyProtection="0"/>
    <xf numFmtId="207" fontId="8" fillId="0" borderId="0" applyFont="0" applyFill="0" applyBorder="0" applyAlignment="0" applyProtection="0"/>
    <xf numFmtId="208" fontId="8" fillId="0" borderId="0" applyFont="0" applyFill="0" applyBorder="0" applyAlignment="0" applyProtection="0"/>
    <xf numFmtId="209" fontId="8" fillId="0" borderId="0" applyFont="0" applyFill="0" applyBorder="0" applyAlignment="0" applyProtection="0"/>
    <xf numFmtId="0" fontId="50" fillId="0" borderId="0"/>
    <xf numFmtId="0" fontId="8" fillId="0" borderId="0"/>
    <xf numFmtId="0" fontId="8" fillId="0" borderId="0"/>
    <xf numFmtId="210" fontId="8" fillId="0" borderId="0" applyFont="0" applyFill="0" applyBorder="0" applyAlignment="0" applyProtection="0"/>
    <xf numFmtId="211" fontId="20" fillId="5" borderId="0" applyFont="0" applyFill="0" applyBorder="0" applyAlignment="0" applyProtection="0"/>
    <xf numFmtId="212" fontId="20" fillId="5" borderId="0" applyFont="0" applyFill="0" applyBorder="0" applyAlignment="0" applyProtection="0"/>
    <xf numFmtId="213" fontId="8" fillId="0" borderId="0" applyFont="0" applyFill="0" applyBorder="0" applyAlignment="0" applyProtection="0"/>
    <xf numFmtId="214" fontId="65" fillId="0" borderId="0" applyFont="0" applyFill="0" applyBorder="0" applyAlignment="0" applyProtection="0"/>
    <xf numFmtId="215" fontId="46" fillId="0" borderId="0" applyFont="0" applyFill="0" applyBorder="0" applyAlignment="0" applyProtection="0"/>
    <xf numFmtId="216" fontId="65" fillId="0" borderId="0" applyFont="0" applyFill="0" applyBorder="0" applyAlignment="0" applyProtection="0"/>
    <xf numFmtId="217" fontId="46" fillId="0" borderId="0" applyFont="0" applyFill="0" applyBorder="0" applyAlignment="0" applyProtection="0"/>
    <xf numFmtId="218" fontId="65" fillId="0" borderId="0" applyFont="0" applyFill="0" applyBorder="0" applyAlignment="0" applyProtection="0"/>
    <xf numFmtId="219" fontId="46" fillId="0" borderId="0" applyFont="0" applyFill="0" applyBorder="0" applyAlignment="0" applyProtection="0"/>
    <xf numFmtId="220" fontId="65" fillId="0" borderId="0" applyFont="0" applyFill="0" applyBorder="0" applyAlignment="0" applyProtection="0"/>
    <xf numFmtId="221" fontId="46" fillId="0" borderId="0" applyFont="0" applyFill="0" applyBorder="0" applyAlignment="0" applyProtection="0"/>
    <xf numFmtId="222" fontId="41" fillId="0" borderId="0" applyFont="0" applyFill="0" applyBorder="0" applyAlignment="0" applyProtection="0">
      <protection locked="0"/>
    </xf>
    <xf numFmtId="223" fontId="4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7" fillId="0" borderId="0" applyBorder="0"/>
    <xf numFmtId="224" fontId="67" fillId="0" borderId="0" applyBorder="0"/>
    <xf numFmtId="10" fontId="67" fillId="0" borderId="0" applyBorder="0"/>
    <xf numFmtId="3" fontId="8" fillId="0" borderId="0">
      <alignment horizontal="left" vertical="top"/>
    </xf>
    <xf numFmtId="3" fontId="8" fillId="0" borderId="0">
      <alignment horizontal="right" vertical="top"/>
    </xf>
    <xf numFmtId="41" fontId="35" fillId="2" borderId="17" applyFill="0"/>
    <xf numFmtId="0" fontId="75" fillId="0" borderId="0">
      <alignment horizontal="left" indent="7"/>
    </xf>
    <xf numFmtId="41" fontId="35" fillId="0" borderId="17" applyFill="0">
      <alignment horizontal="left" indent="2"/>
    </xf>
    <xf numFmtId="175" fontId="64" fillId="0" borderId="7" applyFill="0">
      <alignment horizontal="right"/>
    </xf>
    <xf numFmtId="0" fontId="7" fillId="0" borderId="5" applyNumberFormat="0" applyFont="0" applyBorder="0">
      <alignment horizontal="right"/>
    </xf>
    <xf numFmtId="0" fontId="76" fillId="0" borderId="0" applyFill="0"/>
    <xf numFmtId="0" fontId="17" fillId="0" borderId="0" applyFill="0"/>
    <xf numFmtId="4" fontId="64" fillId="0" borderId="7" applyFill="0"/>
    <xf numFmtId="0" fontId="8" fillId="0" borderId="0" applyNumberFormat="0" applyFont="0" applyBorder="0" applyAlignment="0"/>
    <xf numFmtId="0" fontId="55" fillId="0" borderId="0" applyFill="0">
      <alignment horizontal="left" indent="1"/>
    </xf>
    <xf numFmtId="0" fontId="77" fillId="0" borderId="0" applyFill="0">
      <alignment horizontal="left" indent="1"/>
    </xf>
    <xf numFmtId="4" fontId="20" fillId="0" borderId="0" applyFill="0"/>
    <xf numFmtId="0" fontId="8" fillId="0" borderId="0" applyNumberFormat="0" applyFont="0" applyFill="0" applyBorder="0" applyAlignment="0"/>
    <xf numFmtId="0" fontId="55" fillId="0" borderId="0" applyFill="0">
      <alignment horizontal="left" indent="2"/>
    </xf>
    <xf numFmtId="0" fontId="17" fillId="0" borderId="0" applyFill="0">
      <alignment horizontal="left" indent="2"/>
    </xf>
    <xf numFmtId="4" fontId="20" fillId="0" borderId="0" applyFill="0"/>
    <xf numFmtId="0" fontId="8" fillId="0" borderId="0" applyNumberFormat="0" applyFont="0" applyBorder="0" applyAlignment="0"/>
    <xf numFmtId="0" fontId="78" fillId="0" borderId="0">
      <alignment horizontal="left" indent="3"/>
    </xf>
    <xf numFmtId="0" fontId="79" fillId="0" borderId="0" applyFill="0">
      <alignment horizontal="left" indent="3"/>
    </xf>
    <xf numFmtId="4" fontId="20" fillId="0" borderId="0" applyFill="0"/>
    <xf numFmtId="0" fontId="8" fillId="0" borderId="0" applyNumberFormat="0" applyFont="0" applyBorder="0" applyAlignment="0"/>
    <xf numFmtId="0" fontId="26" fillId="0" borderId="0">
      <alignment horizontal="left" indent="4"/>
    </xf>
    <xf numFmtId="0" fontId="8" fillId="0" borderId="0" applyFill="0">
      <alignment horizontal="left" indent="4"/>
    </xf>
    <xf numFmtId="4" fontId="57" fillId="0" borderId="0" applyFill="0"/>
    <xf numFmtId="0" fontId="8" fillId="0" borderId="0" applyNumberFormat="0" applyFont="0" applyBorder="0" applyAlignment="0"/>
    <xf numFmtId="0" fontId="58" fillId="0" borderId="0">
      <alignment horizontal="left" indent="5"/>
    </xf>
    <xf numFmtId="0" fontId="59" fillId="0" borderId="0" applyFill="0">
      <alignment horizontal="left" indent="5"/>
    </xf>
    <xf numFmtId="4" fontId="60" fillId="0" borderId="0" applyFill="0"/>
    <xf numFmtId="0" fontId="8" fillId="0" borderId="0" applyNumberFormat="0" applyFont="0" applyFill="0" applyBorder="0" applyAlignment="0"/>
    <xf numFmtId="0" fontId="61" fillId="0" borderId="0" applyFill="0">
      <alignment horizontal="left" indent="6"/>
    </xf>
    <xf numFmtId="0" fontId="57" fillId="0" borderId="0" applyFill="0">
      <alignment horizontal="left" indent="6"/>
    </xf>
    <xf numFmtId="0" fontId="72" fillId="0" borderId="25" applyNumberFormat="0" applyFont="0" applyFill="0" applyAlignment="0" applyProtection="0"/>
    <xf numFmtId="0" fontId="80" fillId="0" borderId="0" applyNumberFormat="0" applyFill="0" applyBorder="0" applyAlignment="0" applyProtection="0"/>
    <xf numFmtId="0" fontId="81" fillId="0" borderId="0"/>
    <xf numFmtId="0" fontId="72" fillId="9" borderId="0" applyNumberFormat="0" applyFont="0" applyBorder="0" applyAlignment="0" applyProtection="0"/>
    <xf numFmtId="211" fontId="82" fillId="0" borderId="3" applyNumberFormat="0" applyFont="0" applyFill="0" applyAlignment="0" applyProtection="0"/>
    <xf numFmtId="0" fontId="8" fillId="0" borderId="20" applyNumberFormat="0" applyFont="0" applyFill="0" applyAlignment="0" applyProtection="0"/>
    <xf numFmtId="0" fontId="83" fillId="0" borderId="0" applyNumberFormat="0" applyFill="0" applyBorder="0" applyAlignment="0" applyProtection="0"/>
    <xf numFmtId="225" fontId="46" fillId="0" borderId="0" applyFont="0" applyFill="0" applyBorder="0" applyAlignment="0" applyProtection="0"/>
    <xf numFmtId="226" fontId="46" fillId="0" borderId="0" applyFont="0" applyFill="0" applyBorder="0" applyAlignment="0" applyProtection="0"/>
    <xf numFmtId="227" fontId="46" fillId="0" borderId="0" applyFont="0" applyFill="0" applyBorder="0" applyAlignment="0" applyProtection="0"/>
    <xf numFmtId="228" fontId="46" fillId="0" borderId="0" applyFont="0" applyFill="0" applyBorder="0" applyAlignment="0" applyProtection="0"/>
    <xf numFmtId="229" fontId="46" fillId="0" borderId="0" applyFont="0" applyFill="0" applyBorder="0" applyAlignment="0" applyProtection="0"/>
    <xf numFmtId="230" fontId="46" fillId="0" borderId="0" applyFont="0" applyFill="0" applyBorder="0" applyAlignment="0" applyProtection="0"/>
    <xf numFmtId="231" fontId="46" fillId="0" borderId="0" applyFont="0" applyFill="0" applyBorder="0" applyAlignment="0" applyProtection="0"/>
    <xf numFmtId="232" fontId="46" fillId="0" borderId="0" applyFont="0" applyFill="0" applyBorder="0" applyAlignment="0" applyProtection="0"/>
    <xf numFmtId="233" fontId="84" fillId="9" borderId="29" applyFont="0" applyFill="0" applyBorder="0" applyAlignment="0" applyProtection="0"/>
    <xf numFmtId="233" fontId="50" fillId="0" borderId="0" applyFont="0" applyFill="0" applyBorder="0" applyAlignment="0" applyProtection="0"/>
    <xf numFmtId="234" fontId="63" fillId="0" borderId="0" applyFont="0" applyFill="0" applyBorder="0" applyAlignment="0" applyProtection="0"/>
    <xf numFmtId="235" fontId="16" fillId="0" borderId="3" applyFont="0" applyFill="0" applyBorder="0" applyAlignment="0" applyProtection="0">
      <alignment horizontal="right"/>
      <protection locked="0"/>
    </xf>
    <xf numFmtId="0" fontId="87" fillId="0" borderId="0"/>
    <xf numFmtId="175" fontId="43" fillId="0" borderId="0" applyProtection="0"/>
    <xf numFmtId="0" fontId="4" fillId="0" borderId="0"/>
    <xf numFmtId="0" fontId="90" fillId="0" borderId="0"/>
    <xf numFmtId="0" fontId="8" fillId="0" borderId="0"/>
  </cellStyleXfs>
  <cellXfs count="497">
    <xf numFmtId="0" fontId="0" fillId="0" borderId="0" xfId="0"/>
    <xf numFmtId="0" fontId="8" fillId="0" borderId="0" xfId="40" applyFont="1"/>
    <xf numFmtId="0" fontId="8" fillId="0" borderId="0" xfId="75" quotePrefix="1" applyFont="1" applyAlignment="1">
      <alignment horizontal="left"/>
    </xf>
    <xf numFmtId="0" fontId="8" fillId="0" borderId="0" xfId="75" applyFont="1"/>
    <xf numFmtId="164" fontId="8" fillId="0" borderId="7" xfId="2" applyNumberFormat="1" applyFont="1" applyBorder="1"/>
    <xf numFmtId="164" fontId="7" fillId="0" borderId="8" xfId="2" applyNumberFormat="1" applyFont="1" applyFill="1" applyBorder="1"/>
    <xf numFmtId="0" fontId="7" fillId="0" borderId="9" xfId="75" applyFont="1" applyFill="1" applyBorder="1"/>
    <xf numFmtId="0" fontId="8" fillId="0" borderId="0" xfId="75" applyFont="1" applyAlignment="1">
      <alignment horizontal="center"/>
    </xf>
    <xf numFmtId="0" fontId="8" fillId="0" borderId="0" xfId="75" applyFont="1" applyAlignment="1">
      <alignment horizontal="centerContinuous"/>
    </xf>
    <xf numFmtId="0" fontId="7" fillId="0" borderId="0" xfId="75" applyFont="1" applyAlignment="1">
      <alignment horizontal="centerContinuous"/>
    </xf>
    <xf numFmtId="0" fontId="8" fillId="0" borderId="0" xfId="75" applyFont="1" applyFill="1" applyAlignment="1">
      <alignment horizontal="centerContinuous"/>
    </xf>
    <xf numFmtId="3" fontId="8" fillId="0" borderId="0" xfId="74" applyNumberFormat="1" applyFont="1" applyFill="1"/>
    <xf numFmtId="0" fontId="8" fillId="0" borderId="0" xfId="40" applyFont="1" applyProtection="1">
      <protection locked="0"/>
    </xf>
    <xf numFmtId="0" fontId="8" fillId="0" borderId="0" xfId="66">
      <alignment vertical="top"/>
    </xf>
    <xf numFmtId="0" fontId="7" fillId="0" borderId="7" xfId="40" applyFont="1" applyBorder="1" applyAlignment="1" applyProtection="1">
      <alignment horizontal="center"/>
      <protection locked="0"/>
    </xf>
    <xf numFmtId="0" fontId="7" fillId="0" borderId="10" xfId="40" applyFont="1" applyBorder="1" applyAlignment="1" applyProtection="1">
      <alignment horizontal="center"/>
      <protection locked="0"/>
    </xf>
    <xf numFmtId="0" fontId="8" fillId="0" borderId="0" xfId="40" quotePrefix="1" applyFont="1" applyAlignment="1" applyProtection="1">
      <alignment horizontal="left"/>
      <protection locked="0"/>
    </xf>
    <xf numFmtId="0" fontId="11" fillId="0" borderId="0" xfId="73" applyFont="1"/>
    <xf numFmtId="0" fontId="11" fillId="0" borderId="0" xfId="73" applyFont="1" applyAlignment="1">
      <alignment horizontal="left"/>
    </xf>
    <xf numFmtId="0" fontId="11" fillId="0" borderId="0" xfId="73" quotePrefix="1" applyFont="1"/>
    <xf numFmtId="164" fontId="11" fillId="0" borderId="0" xfId="73" applyNumberFormat="1" applyFont="1"/>
    <xf numFmtId="0" fontId="28" fillId="0" borderId="0" xfId="0" applyFont="1" applyAlignment="1">
      <alignment horizontal="center"/>
    </xf>
    <xf numFmtId="0" fontId="28" fillId="0" borderId="0" xfId="0" applyFont="1"/>
    <xf numFmtId="0" fontId="29" fillId="0" borderId="12" xfId="0" applyFont="1" applyBorder="1" applyAlignment="1">
      <alignment horizontal="center"/>
    </xf>
    <xf numFmtId="0" fontId="27" fillId="0" borderId="13" xfId="0" applyFont="1" applyBorder="1"/>
    <xf numFmtId="0" fontId="28" fillId="0" borderId="0" xfId="0" quotePrefix="1" applyFont="1" applyAlignment="1">
      <alignment horizontal="center"/>
    </xf>
    <xf numFmtId="0" fontId="8" fillId="0" borderId="0" xfId="54" applyFont="1" applyAlignment="1">
      <alignment vertical="top"/>
    </xf>
    <xf numFmtId="0" fontId="7" fillId="0" borderId="0" xfId="54" applyFont="1" applyAlignment="1">
      <alignment horizontal="center" vertical="top"/>
    </xf>
    <xf numFmtId="0" fontId="7" fillId="0" borderId="0" xfId="54" applyFont="1" applyFill="1" applyAlignment="1">
      <alignment horizontal="right" vertical="top"/>
    </xf>
    <xf numFmtId="37" fontId="8" fillId="0" borderId="0" xfId="54" applyNumberFormat="1" applyFont="1" applyAlignment="1">
      <alignment vertical="top"/>
    </xf>
    <xf numFmtId="37" fontId="7" fillId="0" borderId="0" xfId="54" applyNumberFormat="1" applyFont="1" applyAlignment="1">
      <alignment vertical="top"/>
    </xf>
    <xf numFmtId="0" fontId="8" fillId="0" borderId="0" xfId="54" applyAlignment="1"/>
    <xf numFmtId="0" fontId="8" fillId="0" borderId="0" xfId="54" quotePrefix="1" applyAlignment="1">
      <alignment horizontal="center"/>
    </xf>
    <xf numFmtId="0" fontId="6" fillId="0" borderId="0" xfId="63"/>
    <xf numFmtId="0" fontId="27" fillId="0" borderId="7" xfId="54" applyFont="1" applyBorder="1" applyAlignment="1"/>
    <xf numFmtId="0" fontId="27" fillId="0" borderId="0" xfId="54" applyFont="1" applyAlignment="1">
      <alignment horizontal="center"/>
    </xf>
    <xf numFmtId="0" fontId="29" fillId="0" borderId="0" xfId="54" applyFont="1" applyAlignment="1">
      <alignment horizontal="center"/>
    </xf>
    <xf numFmtId="0" fontId="7" fillId="0" borderId="0" xfId="54" applyFont="1" applyAlignment="1"/>
    <xf numFmtId="164" fontId="8" fillId="0" borderId="0" xfId="54" applyNumberFormat="1" applyAlignment="1"/>
    <xf numFmtId="164" fontId="5" fillId="0" borderId="13" xfId="54" applyNumberFormat="1" applyFont="1" applyBorder="1" applyAlignment="1"/>
    <xf numFmtId="164" fontId="0" fillId="0" borderId="0" xfId="15" applyNumberFormat="1" applyFont="1"/>
    <xf numFmtId="164" fontId="7" fillId="0" borderId="13" xfId="54" applyNumberFormat="1" applyFont="1" applyBorder="1" applyAlignment="1"/>
    <xf numFmtId="164" fontId="8" fillId="0" borderId="13" xfId="54" applyNumberFormat="1" applyFont="1" applyBorder="1" applyAlignment="1"/>
    <xf numFmtId="164" fontId="8" fillId="0" borderId="13" xfId="54" applyNumberFormat="1" applyBorder="1" applyAlignment="1"/>
    <xf numFmtId="164" fontId="8" fillId="0" borderId="11" xfId="54" applyNumberFormat="1" applyBorder="1" applyAlignment="1"/>
    <xf numFmtId="164" fontId="8" fillId="0" borderId="14" xfId="54" applyNumberFormat="1" applyBorder="1" applyAlignment="1"/>
    <xf numFmtId="164" fontId="0" fillId="0" borderId="11" xfId="15" applyNumberFormat="1" applyFont="1" applyBorder="1"/>
    <xf numFmtId="43" fontId="0" fillId="0" borderId="0" xfId="15" applyFont="1"/>
    <xf numFmtId="0" fontId="8" fillId="0" borderId="0" xfId="54" quotePrefix="1" applyAlignment="1">
      <alignment horizontal="left"/>
    </xf>
    <xf numFmtId="0" fontId="7" fillId="0" borderId="0" xfId="54" quotePrefix="1" applyFont="1" applyAlignment="1">
      <alignment horizontal="left"/>
    </xf>
    <xf numFmtId="0" fontId="31" fillId="0" borderId="0" xfId="69" applyFont="1" applyFill="1"/>
    <xf numFmtId="164" fontId="31" fillId="0" borderId="0" xfId="17" applyNumberFormat="1" applyFont="1" applyFill="1"/>
    <xf numFmtId="173" fontId="31" fillId="0" borderId="0" xfId="17" applyNumberFormat="1" applyFont="1" applyFill="1"/>
    <xf numFmtId="164" fontId="31" fillId="0" borderId="0" xfId="69" applyNumberFormat="1" applyFont="1" applyFill="1"/>
    <xf numFmtId="0" fontId="7" fillId="0" borderId="0" xfId="72" applyFont="1" applyAlignment="1">
      <alignment horizontal="centerContinuous"/>
    </xf>
    <xf numFmtId="0" fontId="8" fillId="0" borderId="0" xfId="72" applyFont="1" applyAlignment="1">
      <alignment horizontal="centerContinuous"/>
    </xf>
    <xf numFmtId="40" fontId="8" fillId="0" borderId="0" xfId="72" applyNumberFormat="1" applyFont="1" applyAlignment="1">
      <alignment horizontal="centerContinuous"/>
    </xf>
    <xf numFmtId="0" fontId="8" fillId="0" borderId="0" xfId="72" applyFont="1"/>
    <xf numFmtId="0" fontId="33" fillId="0" borderId="0" xfId="72" applyFont="1" applyAlignment="1">
      <alignment horizontal="center"/>
    </xf>
    <xf numFmtId="0" fontId="8" fillId="0" borderId="0" xfId="72" applyFont="1" applyAlignment="1" applyProtection="1">
      <alignment horizontal="left"/>
    </xf>
    <xf numFmtId="10" fontId="8" fillId="0" borderId="0" xfId="72" applyNumberFormat="1" applyFont="1"/>
    <xf numFmtId="10" fontId="8" fillId="0" borderId="0" xfId="72" applyNumberFormat="1" applyFont="1" applyAlignment="1" applyProtection="1"/>
    <xf numFmtId="37" fontId="8" fillId="0" borderId="0" xfId="72" applyNumberFormat="1" applyFont="1" applyProtection="1"/>
    <xf numFmtId="37" fontId="8" fillId="0" borderId="0" xfId="72" applyNumberFormat="1" applyFont="1" applyAlignment="1" applyProtection="1">
      <alignment horizontal="left"/>
    </xf>
    <xf numFmtId="0" fontId="8" fillId="0" borderId="0" xfId="72" quotePrefix="1" applyFont="1" applyAlignment="1">
      <alignment horizontal="left"/>
    </xf>
    <xf numFmtId="0" fontId="31" fillId="0" borderId="0" xfId="60" applyFont="1"/>
    <xf numFmtId="14" fontId="31" fillId="0" borderId="0" xfId="60" applyNumberFormat="1" applyFont="1" applyAlignment="1">
      <alignment horizontal="center"/>
    </xf>
    <xf numFmtId="0" fontId="31" fillId="0" borderId="0" xfId="60" applyFont="1" applyAlignment="1">
      <alignment horizontal="center"/>
    </xf>
    <xf numFmtId="0" fontId="31" fillId="0" borderId="0" xfId="60" applyFont="1" applyAlignment="1">
      <alignment horizontal="center" wrapText="1"/>
    </xf>
    <xf numFmtId="41" fontId="31" fillId="0" borderId="0" xfId="12" applyFont="1"/>
    <xf numFmtId="41" fontId="31" fillId="0" borderId="0" xfId="60" applyNumberFormat="1" applyFont="1"/>
    <xf numFmtId="41" fontId="31" fillId="0" borderId="11" xfId="12" applyFont="1" applyBorder="1"/>
    <xf numFmtId="10" fontId="31" fillId="0" borderId="0" xfId="81" applyNumberFormat="1" applyFont="1"/>
    <xf numFmtId="41" fontId="31" fillId="0" borderId="0" xfId="12" applyFont="1" applyBorder="1"/>
    <xf numFmtId="14" fontId="34" fillId="0" borderId="0" xfId="60" applyNumberFormat="1" applyFont="1" applyAlignment="1">
      <alignment horizontal="center"/>
    </xf>
    <xf numFmtId="0" fontId="34" fillId="0" borderId="0" xfId="60" applyFont="1" applyAlignment="1">
      <alignment horizontal="center"/>
    </xf>
    <xf numFmtId="0" fontId="31" fillId="0" borderId="0" xfId="60" applyFont="1" applyBorder="1"/>
    <xf numFmtId="41" fontId="31" fillId="0" borderId="0" xfId="60" applyNumberFormat="1" applyFont="1" applyBorder="1"/>
    <xf numFmtId="0" fontId="31" fillId="0" borderId="9" xfId="60" applyFont="1" applyBorder="1"/>
    <xf numFmtId="41" fontId="31" fillId="0" borderId="2" xfId="12" applyFont="1" applyBorder="1"/>
    <xf numFmtId="41" fontId="32" fillId="0" borderId="8" xfId="60" applyNumberFormat="1" applyFont="1" applyBorder="1"/>
    <xf numFmtId="37" fontId="8" fillId="0" borderId="0" xfId="16" applyNumberFormat="1" applyFont="1" applyBorder="1" applyProtection="1">
      <protection locked="0"/>
    </xf>
    <xf numFmtId="37" fontId="8" fillId="0" borderId="13" xfId="16" applyNumberFormat="1" applyFont="1" applyBorder="1" applyProtection="1">
      <protection locked="0"/>
    </xf>
    <xf numFmtId="37" fontId="8" fillId="0" borderId="0" xfId="16" applyNumberFormat="1" applyFont="1" applyProtection="1">
      <protection locked="0"/>
    </xf>
    <xf numFmtId="37" fontId="7" fillId="0" borderId="13" xfId="16" applyNumberFormat="1" applyFont="1" applyBorder="1" applyProtection="1">
      <protection locked="0"/>
    </xf>
    <xf numFmtId="37" fontId="8" fillId="0" borderId="11" xfId="16" applyNumberFormat="1" applyFont="1" applyBorder="1" applyProtection="1">
      <protection locked="0"/>
    </xf>
    <xf numFmtId="37" fontId="8" fillId="0" borderId="14" xfId="16" applyNumberFormat="1" applyFont="1" applyBorder="1" applyProtection="1">
      <protection locked="0"/>
    </xf>
    <xf numFmtId="37" fontId="0" fillId="0" borderId="0" xfId="0" applyNumberFormat="1"/>
    <xf numFmtId="37" fontId="27" fillId="0" borderId="13" xfId="0" applyNumberFormat="1" applyFont="1" applyBorder="1"/>
    <xf numFmtId="37" fontId="0" fillId="0" borderId="11" xfId="0" applyNumberFormat="1" applyBorder="1"/>
    <xf numFmtId="37" fontId="27" fillId="0" borderId="14" xfId="0" applyNumberFormat="1" applyFont="1" applyBorder="1"/>
    <xf numFmtId="0" fontId="31" fillId="0" borderId="7" xfId="69" applyFont="1" applyFill="1" applyBorder="1"/>
    <xf numFmtId="0" fontId="7" fillId="0" borderId="0" xfId="57" applyFont="1"/>
    <xf numFmtId="0" fontId="7" fillId="0" borderId="0" xfId="57" quotePrefix="1" applyFont="1" applyAlignment="1">
      <alignment horizontal="left"/>
    </xf>
    <xf numFmtId="164" fontId="8" fillId="0" borderId="2" xfId="2" applyNumberFormat="1" applyFont="1" applyFill="1" applyBorder="1"/>
    <xf numFmtId="0" fontId="7" fillId="0" borderId="0" xfId="48" applyFont="1" applyAlignment="1">
      <alignment horizontal="center"/>
    </xf>
    <xf numFmtId="0" fontId="40" fillId="0" borderId="0" xfId="0" applyFont="1" applyAlignment="1"/>
    <xf numFmtId="0" fontId="8" fillId="0" borderId="16" xfId="42" applyFont="1" applyBorder="1" applyAlignment="1">
      <alignment vertical="top"/>
    </xf>
    <xf numFmtId="0" fontId="8" fillId="0" borderId="0" xfId="42" applyFont="1" applyAlignment="1">
      <alignment vertical="top"/>
    </xf>
    <xf numFmtId="0" fontId="8" fillId="0" borderId="19" xfId="42" applyFont="1" applyBorder="1" applyAlignment="1">
      <alignment horizontal="center" vertical="top"/>
    </xf>
    <xf numFmtId="0" fontId="8" fillId="0" borderId="7" xfId="42" applyFont="1" applyBorder="1" applyAlignment="1">
      <alignment horizontal="center" vertical="top"/>
    </xf>
    <xf numFmtId="0" fontId="8" fillId="0" borderId="18" xfId="42" applyFont="1" applyBorder="1" applyAlignment="1">
      <alignment horizontal="center" vertical="top"/>
    </xf>
    <xf numFmtId="0" fontId="8" fillId="0" borderId="23" xfId="42" applyFont="1" applyBorder="1" applyAlignment="1">
      <alignment horizontal="center" vertical="top"/>
    </xf>
    <xf numFmtId="0" fontId="8" fillId="0" borderId="0" xfId="42" applyFont="1" applyAlignment="1">
      <alignment horizontal="center" vertical="top"/>
    </xf>
    <xf numFmtId="0" fontId="7" fillId="0" borderId="0" xfId="42" quotePrefix="1" applyFont="1" applyAlignment="1">
      <alignment horizontal="left" vertical="top"/>
    </xf>
    <xf numFmtId="0" fontId="8" fillId="0" borderId="4" xfId="42" applyFont="1" applyBorder="1" applyAlignment="1">
      <alignment vertical="top"/>
    </xf>
    <xf numFmtId="37" fontId="8" fillId="0" borderId="4" xfId="42" applyNumberFormat="1" applyFont="1" applyBorder="1" applyAlignment="1">
      <alignment vertical="top"/>
    </xf>
    <xf numFmtId="0" fontId="7" fillId="0" borderId="0" xfId="42" applyFont="1" applyAlignment="1">
      <alignment vertical="top"/>
    </xf>
    <xf numFmtId="0" fontId="8" fillId="0" borderId="0" xfId="42" applyFont="1" applyFill="1" applyAlignment="1">
      <alignment vertical="top"/>
    </xf>
    <xf numFmtId="0" fontId="8" fillId="0" borderId="0" xfId="54" applyFont="1" applyAlignment="1">
      <alignment horizontal="right" vertical="top"/>
    </xf>
    <xf numFmtId="0" fontId="8" fillId="0" borderId="22" xfId="42" applyFont="1" applyBorder="1" applyAlignment="1">
      <alignment vertical="top"/>
    </xf>
    <xf numFmtId="0" fontId="8" fillId="0" borderId="20" xfId="42" applyFont="1" applyBorder="1" applyAlignment="1">
      <alignment vertical="top"/>
    </xf>
    <xf numFmtId="0" fontId="8" fillId="0" borderId="21" xfId="42" applyFont="1" applyBorder="1" applyAlignment="1">
      <alignment vertical="top"/>
    </xf>
    <xf numFmtId="14" fontId="8" fillId="0" borderId="0" xfId="54" applyNumberFormat="1" applyFont="1" applyAlignment="1">
      <alignment horizontal="right" vertical="top"/>
    </xf>
    <xf numFmtId="175" fontId="40" fillId="0" borderId="0" xfId="95" applyFont="1" applyFill="1" applyAlignment="1"/>
    <xf numFmtId="175" fontId="42" fillId="0" borderId="0" xfId="95" applyFont="1" applyFill="1" applyAlignment="1">
      <alignment horizontal="left"/>
    </xf>
    <xf numFmtId="37" fontId="40" fillId="0" borderId="0" xfId="95" quotePrefix="1" applyNumberFormat="1" applyFont="1" applyFill="1" applyBorder="1" applyAlignment="1">
      <alignment horizontal="right"/>
    </xf>
    <xf numFmtId="175" fontId="42" fillId="0" borderId="0" xfId="95" applyFont="1" applyFill="1" applyBorder="1" applyAlignment="1"/>
    <xf numFmtId="37" fontId="40" fillId="0" borderId="0" xfId="95" applyNumberFormat="1" applyFont="1" applyFill="1" applyAlignment="1"/>
    <xf numFmtId="0" fontId="8" fillId="0" borderId="0" xfId="95" applyNumberFormat="1" applyFont="1" applyFill="1"/>
    <xf numFmtId="175" fontId="40" fillId="0" borderId="0" xfId="95" applyFont="1" applyFill="1" applyBorder="1" applyAlignment="1"/>
    <xf numFmtId="175" fontId="42" fillId="0" borderId="0" xfId="95" applyFont="1" applyFill="1" applyBorder="1" applyAlignment="1">
      <alignment horizontal="left"/>
    </xf>
    <xf numFmtId="0" fontId="7" fillId="0" borderId="0" xfId="95" applyNumberFormat="1" applyFont="1" applyFill="1"/>
    <xf numFmtId="10" fontId="40" fillId="0" borderId="0" xfId="95" applyNumberFormat="1" applyFont="1" applyFill="1" applyBorder="1" applyAlignment="1"/>
    <xf numFmtId="37" fontId="40" fillId="0" borderId="0" xfId="95" applyNumberFormat="1" applyFont="1" applyFill="1" applyBorder="1" applyAlignment="1"/>
    <xf numFmtId="175" fontId="42" fillId="0" borderId="0" xfId="95" quotePrefix="1" applyFont="1" applyFill="1" applyBorder="1" applyAlignment="1">
      <alignment horizontal="left"/>
    </xf>
    <xf numFmtId="175" fontId="42" fillId="0" borderId="0" xfId="95" quotePrefix="1" applyFont="1" applyFill="1" applyAlignment="1">
      <alignment horizontal="left"/>
    </xf>
    <xf numFmtId="175" fontId="40" fillId="0" borderId="0" xfId="95" applyFont="1" applyFill="1" applyAlignment="1">
      <alignment horizontal="left"/>
    </xf>
    <xf numFmtId="175" fontId="42" fillId="0" borderId="0" xfId="95" applyFont="1" applyFill="1" applyAlignment="1"/>
    <xf numFmtId="175" fontId="40" fillId="0" borderId="0" xfId="95" quotePrefix="1" applyFont="1" applyFill="1" applyAlignment="1">
      <alignment horizontal="left"/>
    </xf>
    <xf numFmtId="37" fontId="40" fillId="0" borderId="7" xfId="95" applyNumberFormat="1" applyFont="1" applyFill="1" applyBorder="1" applyAlignment="1"/>
    <xf numFmtId="175" fontId="40" fillId="0" borderId="0" xfId="95" applyFont="1" applyFill="1" applyAlignment="1">
      <alignment horizontal="left" indent="1"/>
    </xf>
    <xf numFmtId="175" fontId="40" fillId="0" borderId="0" xfId="95" quotePrefix="1" applyFont="1" applyFill="1" applyAlignment="1">
      <alignment horizontal="left" indent="1"/>
    </xf>
    <xf numFmtId="37" fontId="40" fillId="0" borderId="0" xfId="95" applyNumberFormat="1" applyFont="1" applyFill="1" applyAlignment="1">
      <alignment horizontal="left"/>
    </xf>
    <xf numFmtId="175" fontId="42" fillId="0" borderId="0" xfId="95" applyFont="1" applyFill="1" applyAlignment="1">
      <alignment horizontal="left" wrapText="1"/>
    </xf>
    <xf numFmtId="175" fontId="42" fillId="0" borderId="0" xfId="95" quotePrefix="1" applyFont="1" applyFill="1" applyAlignment="1">
      <alignment horizontal="left" wrapText="1"/>
    </xf>
    <xf numFmtId="175" fontId="40" fillId="0" borderId="0" xfId="95" quotePrefix="1" applyFont="1" applyFill="1" applyAlignment="1">
      <alignment horizontal="left" indent="2"/>
    </xf>
    <xf numFmtId="175" fontId="40" fillId="0" borderId="0" xfId="95" applyFont="1" applyFill="1" applyAlignment="1">
      <alignment horizontal="left" indent="2"/>
    </xf>
    <xf numFmtId="37" fontId="40" fillId="0" borderId="0" xfId="95" quotePrefix="1" applyNumberFormat="1" applyFont="1" applyFill="1" applyAlignment="1">
      <alignment horizontal="left"/>
    </xf>
    <xf numFmtId="175" fontId="40" fillId="0" borderId="0" xfId="95" applyFont="1" applyFill="1" applyBorder="1" applyAlignment="1">
      <alignment horizontal="left" indent="1"/>
    </xf>
    <xf numFmtId="175" fontId="40" fillId="0" borderId="0" xfId="95" applyFont="1" applyFill="1" applyAlignment="1">
      <alignment horizontal="left" indent="3"/>
    </xf>
    <xf numFmtId="175" fontId="40" fillId="0" borderId="0" xfId="95" quotePrefix="1" applyFont="1" applyFill="1" applyAlignment="1">
      <alignment horizontal="left" indent="3"/>
    </xf>
    <xf numFmtId="176" fontId="40" fillId="0" borderId="0" xfId="95" applyNumberFormat="1" applyFont="1" applyFill="1" applyAlignment="1">
      <alignment horizontal="left" indent="3"/>
    </xf>
    <xf numFmtId="0" fontId="42" fillId="0" borderId="0" xfId="95" quotePrefix="1" applyNumberFormat="1" applyFont="1" applyFill="1" applyAlignment="1">
      <alignment horizontal="left"/>
    </xf>
    <xf numFmtId="0" fontId="42" fillId="0" borderId="0" xfId="95" quotePrefix="1" applyNumberFormat="1" applyFont="1" applyFill="1" applyBorder="1" applyAlignment="1">
      <alignment horizontal="left"/>
    </xf>
    <xf numFmtId="175" fontId="42" fillId="0" borderId="0" xfId="95" applyFont="1" applyFill="1" applyAlignment="1">
      <alignment horizontal="center"/>
    </xf>
    <xf numFmtId="175" fontId="44" fillId="0" borderId="0" xfId="95" quotePrefix="1" applyFont="1" applyFill="1" applyAlignment="1">
      <alignment horizontal="left"/>
    </xf>
    <xf numFmtId="175" fontId="42" fillId="0" borderId="0" xfId="95" quotePrefix="1" applyFont="1" applyFill="1" applyAlignment="1">
      <alignment horizontal="center"/>
    </xf>
    <xf numFmtId="175" fontId="44" fillId="0" borderId="0" xfId="95" quotePrefix="1" applyFont="1" applyFill="1" applyAlignment="1">
      <alignment horizontal="left" wrapText="1"/>
    </xf>
    <xf numFmtId="177" fontId="42" fillId="0" borderId="0" xfId="95" quotePrefix="1" applyNumberFormat="1" applyFont="1" applyFill="1" applyAlignment="1">
      <alignment horizontal="left"/>
    </xf>
    <xf numFmtId="177" fontId="42" fillId="0" borderId="0" xfId="95" quotePrefix="1" applyNumberFormat="1" applyFont="1" applyFill="1" applyBorder="1" applyAlignment="1">
      <alignment horizontal="left"/>
    </xf>
    <xf numFmtId="37" fontId="42" fillId="0" borderId="0" xfId="95" applyNumberFormat="1" applyFont="1" applyFill="1" applyBorder="1" applyAlignment="1">
      <alignment horizontal="left"/>
    </xf>
    <xf numFmtId="37" fontId="42" fillId="0" borderId="0" xfId="95" applyNumberFormat="1" applyFont="1" applyFill="1" applyAlignment="1">
      <alignment horizontal="left"/>
    </xf>
    <xf numFmtId="175" fontId="40" fillId="0" borderId="0" xfId="95" applyFont="1" applyFill="1" applyBorder="1" applyAlignment="1">
      <alignment horizontal="center"/>
    </xf>
    <xf numFmtId="175" fontId="40" fillId="0" borderId="0" xfId="95" applyFont="1" applyFill="1" applyAlignment="1">
      <alignment horizontal="center"/>
    </xf>
    <xf numFmtId="175" fontId="42" fillId="0" borderId="0" xfId="95" applyFont="1" applyFill="1" applyBorder="1" applyAlignment="1">
      <alignment horizontal="center" wrapText="1"/>
    </xf>
    <xf numFmtId="175" fontId="42" fillId="0" borderId="0" xfId="95" applyFont="1" applyFill="1" applyBorder="1" applyAlignment="1">
      <alignment horizontal="center"/>
    </xf>
    <xf numFmtId="175" fontId="42" fillId="0" borderId="7" xfId="95" quotePrefix="1" applyFont="1" applyFill="1" applyBorder="1" applyAlignment="1">
      <alignment horizontal="center" wrapText="1"/>
    </xf>
    <xf numFmtId="175" fontId="42" fillId="0" borderId="7" xfId="95" applyFont="1" applyFill="1" applyBorder="1" applyAlignment="1">
      <alignment horizontal="center"/>
    </xf>
    <xf numFmtId="175" fontId="42" fillId="0" borderId="7" xfId="95" quotePrefix="1" applyFont="1" applyFill="1" applyBorder="1" applyAlignment="1">
      <alignment horizontal="left"/>
    </xf>
    <xf numFmtId="175" fontId="42" fillId="0" borderId="7" xfId="95" applyFont="1" applyFill="1" applyBorder="1" applyAlignment="1"/>
    <xf numFmtId="0" fontId="7" fillId="0" borderId="0" xfId="54" quotePrefix="1" applyFont="1" applyAlignment="1">
      <alignment horizontal="center" vertical="top"/>
    </xf>
    <xf numFmtId="0" fontId="7" fillId="0" borderId="0" xfId="0" quotePrefix="1" applyFont="1" applyAlignment="1">
      <alignment horizontal="left" vertical="top"/>
    </xf>
    <xf numFmtId="0" fontId="8" fillId="0" borderId="0" xfId="0" applyFont="1" applyAlignment="1">
      <alignment horizontal="center" vertical="top"/>
    </xf>
    <xf numFmtId="0" fontId="7" fillId="0" borderId="0" xfId="96" quotePrefix="1" applyFont="1" applyAlignment="1">
      <alignment horizontal="left" vertical="top"/>
    </xf>
    <xf numFmtId="0" fontId="8" fillId="0" borderId="0" xfId="96" applyFont="1" applyAlignment="1">
      <alignment vertical="top"/>
    </xf>
    <xf numFmtId="0" fontId="7" fillId="7" borderId="0" xfId="96" quotePrefix="1" applyFont="1" applyFill="1" applyAlignment="1">
      <alignment horizontal="left" vertical="top"/>
    </xf>
    <xf numFmtId="0" fontId="8" fillId="7" borderId="0" xfId="96" applyFont="1" applyFill="1" applyAlignment="1">
      <alignment vertical="top"/>
    </xf>
    <xf numFmtId="43" fontId="8" fillId="7" borderId="5" xfId="2" applyFont="1" applyFill="1" applyBorder="1" applyAlignment="1">
      <alignment vertical="top"/>
    </xf>
    <xf numFmtId="43" fontId="8" fillId="0" borderId="17" xfId="2" applyFont="1" applyBorder="1" applyAlignment="1">
      <alignment vertical="top"/>
    </xf>
    <xf numFmtId="0" fontId="8" fillId="0" borderId="0" xfId="96" quotePrefix="1" applyFont="1" applyAlignment="1">
      <alignment horizontal="left" vertical="top" indent="1"/>
    </xf>
    <xf numFmtId="0" fontId="8" fillId="7" borderId="0" xfId="96" applyFont="1" applyFill="1" applyAlignment="1">
      <alignment horizontal="left" vertical="top" indent="2"/>
    </xf>
    <xf numFmtId="0" fontId="8" fillId="0" borderId="0" xfId="96" applyFont="1" applyAlignment="1">
      <alignment horizontal="left" vertical="top" indent="2"/>
    </xf>
    <xf numFmtId="0" fontId="7" fillId="7" borderId="0" xfId="96" applyFont="1" applyFill="1" applyAlignment="1">
      <alignment horizontal="left" vertical="top" indent="2"/>
    </xf>
    <xf numFmtId="0" fontId="8" fillId="0" borderId="0" xfId="42" applyFont="1" applyBorder="1" applyAlignment="1">
      <alignment horizontal="center" vertical="top"/>
    </xf>
    <xf numFmtId="0" fontId="8" fillId="0" borderId="24" xfId="42" applyFont="1" applyBorder="1" applyAlignment="1">
      <alignment horizontal="center" vertical="top"/>
    </xf>
    <xf numFmtId="0" fontId="8" fillId="0" borderId="25" xfId="42" applyFont="1" applyBorder="1" applyAlignment="1">
      <alignment horizontal="center" vertical="top"/>
    </xf>
    <xf numFmtId="37" fontId="8" fillId="0" borderId="5" xfId="96" applyNumberFormat="1" applyFont="1" applyBorder="1" applyAlignment="1">
      <alignment vertical="top"/>
    </xf>
    <xf numFmtId="0" fontId="39" fillId="0" borderId="0" xfId="0" applyFont="1" applyAlignment="1">
      <alignment horizontal="left" indent="1"/>
    </xf>
    <xf numFmtId="0" fontId="39" fillId="0" borderId="0" xfId="0" applyFont="1" applyAlignment="1">
      <alignment horizontal="left" wrapText="1"/>
    </xf>
    <xf numFmtId="0" fontId="39" fillId="0" borderId="0" xfId="0" applyFont="1"/>
    <xf numFmtId="0" fontId="7" fillId="0" borderId="0" xfId="96" applyFont="1" applyAlignment="1">
      <alignment horizontal="left" vertical="top" indent="1"/>
    </xf>
    <xf numFmtId="0" fontId="7" fillId="0" borderId="0" xfId="41" applyFont="1" applyFill="1" applyAlignment="1"/>
    <xf numFmtId="0" fontId="32" fillId="0" borderId="0" xfId="60" applyFont="1"/>
    <xf numFmtId="17" fontId="8" fillId="0" borderId="0" xfId="75" applyNumberFormat="1" applyFont="1" applyFill="1" applyAlignment="1">
      <alignment horizontal="center"/>
    </xf>
    <xf numFmtId="0" fontId="8" fillId="0" borderId="0" xfId="54" quotePrefix="1" applyFont="1" applyAlignment="1">
      <alignment horizontal="right" vertical="top"/>
    </xf>
    <xf numFmtId="0" fontId="3" fillId="0" borderId="0" xfId="0" applyFont="1"/>
    <xf numFmtId="0" fontId="45" fillId="0" borderId="0" xfId="0" applyFont="1" applyAlignment="1">
      <alignment horizontal="right"/>
    </xf>
    <xf numFmtId="180" fontId="3" fillId="0" borderId="0" xfId="0" applyNumberFormat="1" applyFont="1"/>
    <xf numFmtId="0" fontId="85" fillId="0" borderId="0" xfId="0" applyFont="1"/>
    <xf numFmtId="49" fontId="86" fillId="0" borderId="30" xfId="0" applyNumberFormat="1" applyFont="1" applyBorder="1" applyAlignment="1">
      <alignment vertical="top" wrapText="1"/>
    </xf>
    <xf numFmtId="164" fontId="3" fillId="0" borderId="0" xfId="2" applyNumberFormat="1" applyFont="1"/>
    <xf numFmtId="164" fontId="3" fillId="0" borderId="0" xfId="0" applyNumberFormat="1" applyFont="1"/>
    <xf numFmtId="49" fontId="86" fillId="0" borderId="31" xfId="0" applyNumberFormat="1" applyFont="1" applyBorder="1" applyAlignment="1">
      <alignment vertical="top" wrapText="1"/>
    </xf>
    <xf numFmtId="164" fontId="3" fillId="0" borderId="7" xfId="0" applyNumberFormat="1" applyFont="1" applyBorder="1"/>
    <xf numFmtId="0" fontId="7" fillId="0" borderId="0" xfId="74" applyFont="1" applyFill="1" applyAlignment="1">
      <alignment horizontal="center" textRotation="90"/>
    </xf>
    <xf numFmtId="3" fontId="7" fillId="0" borderId="0" xfId="74" applyNumberFormat="1" applyFont="1" applyFill="1" applyAlignment="1">
      <alignment horizontal="center" textRotation="90"/>
    </xf>
    <xf numFmtId="3" fontId="7" fillId="0" borderId="0" xfId="74" quotePrefix="1" applyNumberFormat="1" applyFont="1" applyFill="1" applyAlignment="1">
      <alignment horizontal="center" textRotation="90"/>
    </xf>
    <xf numFmtId="3" fontId="7" fillId="0" borderId="0" xfId="74" quotePrefix="1" applyNumberFormat="1" applyFont="1" applyFill="1" applyBorder="1" applyAlignment="1">
      <alignment horizontal="center" textRotation="90"/>
    </xf>
    <xf numFmtId="3" fontId="7" fillId="0" borderId="0" xfId="74" applyNumberFormat="1" applyFont="1" applyAlignment="1">
      <alignment horizontal="center" vertical="center" wrapText="1"/>
    </xf>
    <xf numFmtId="3" fontId="7" fillId="0" borderId="0" xfId="74" applyNumberFormat="1" applyFont="1" applyAlignment="1">
      <alignment horizontal="center" vertical="center"/>
    </xf>
    <xf numFmtId="3" fontId="7" fillId="0" borderId="0" xfId="74" applyNumberFormat="1" applyFont="1" applyBorder="1" applyAlignment="1">
      <alignment horizontal="center" vertical="center"/>
    </xf>
    <xf numFmtId="0" fontId="7" fillId="0" borderId="0" xfId="74" applyFont="1" applyAlignment="1">
      <alignment horizontal="right"/>
    </xf>
    <xf numFmtId="3" fontId="8" fillId="0" borderId="7" xfId="74" applyNumberFormat="1" applyFont="1" applyFill="1" applyBorder="1"/>
    <xf numFmtId="37" fontId="40" fillId="0" borderId="0" xfId="280" applyNumberFormat="1" applyFont="1" applyFill="1" applyAlignment="1"/>
    <xf numFmtId="37" fontId="40" fillId="0" borderId="0" xfId="280" applyNumberFormat="1" applyFont="1" applyFill="1" applyBorder="1" applyAlignment="1"/>
    <xf numFmtId="37" fontId="40" fillId="0" borderId="7" xfId="280" applyNumberFormat="1" applyFont="1" applyFill="1" applyBorder="1" applyAlignment="1"/>
    <xf numFmtId="164" fontId="45" fillId="0" borderId="0" xfId="0" applyNumberFormat="1" applyFont="1"/>
    <xf numFmtId="178" fontId="31" fillId="0" borderId="0" xfId="69" applyNumberFormat="1" applyFont="1" applyFill="1"/>
    <xf numFmtId="179" fontId="31" fillId="0" borderId="0" xfId="69" applyNumberFormat="1" applyFont="1" applyFill="1"/>
    <xf numFmtId="0" fontId="27" fillId="0" borderId="7" xfId="54" applyFont="1" applyBorder="1" applyAlignment="1">
      <alignment horizontal="center"/>
    </xf>
    <xf numFmtId="10" fontId="40" fillId="0" borderId="0" xfId="95" applyNumberFormat="1" applyFont="1" applyFill="1" applyAlignment="1"/>
    <xf numFmtId="164" fontId="31" fillId="0" borderId="0" xfId="60" applyNumberFormat="1" applyFont="1"/>
    <xf numFmtId="41" fontId="11" fillId="0" borderId="11" xfId="12" applyFont="1" applyBorder="1"/>
    <xf numFmtId="0" fontId="45" fillId="0" borderId="0" xfId="0" applyFont="1" applyAlignment="1">
      <alignment horizontal="center"/>
    </xf>
    <xf numFmtId="0" fontId="31" fillId="0" borderId="7" xfId="60" applyFont="1" applyBorder="1" applyAlignment="1">
      <alignment horizontal="center" wrapText="1"/>
    </xf>
    <xf numFmtId="0" fontId="29" fillId="0" borderId="12" xfId="54" applyFont="1" applyBorder="1" applyAlignment="1">
      <alignment horizontal="center"/>
    </xf>
    <xf numFmtId="0" fontId="89" fillId="0" borderId="0" xfId="54" applyFont="1" applyAlignment="1"/>
    <xf numFmtId="0" fontId="8" fillId="0" borderId="0" xfId="0" applyFont="1" applyAlignment="1"/>
    <xf numFmtId="0" fontId="3" fillId="0" borderId="0" xfId="0" applyFont="1" applyAlignment="1">
      <alignment horizontal="left"/>
    </xf>
    <xf numFmtId="0" fontId="32" fillId="0" borderId="0" xfId="46" applyFont="1"/>
    <xf numFmtId="0" fontId="32" fillId="0" borderId="0" xfId="46" applyFont="1" applyBorder="1" applyAlignment="1"/>
    <xf numFmtId="0" fontId="32" fillId="0" borderId="7" xfId="46" applyFont="1" applyBorder="1"/>
    <xf numFmtId="0" fontId="32" fillId="0" borderId="7" xfId="46" quotePrefix="1" applyFont="1" applyFill="1" applyBorder="1" applyAlignment="1">
      <alignment horizontal="center"/>
    </xf>
    <xf numFmtId="0" fontId="3" fillId="0" borderId="0" xfId="50" applyFont="1"/>
    <xf numFmtId="164" fontId="3" fillId="0" borderId="0" xfId="50" applyNumberFormat="1" applyFont="1"/>
    <xf numFmtId="164" fontId="3" fillId="0" borderId="0" xfId="50" applyNumberFormat="1" applyFont="1" applyBorder="1"/>
    <xf numFmtId="164" fontId="3" fillId="0" borderId="20" xfId="50" applyNumberFormat="1" applyFont="1" applyBorder="1"/>
    <xf numFmtId="164" fontId="3" fillId="0" borderId="11" xfId="50" applyNumberFormat="1" applyFont="1" applyBorder="1"/>
    <xf numFmtId="164" fontId="45" fillId="0" borderId="11" xfId="50" applyNumberFormat="1" applyFont="1" applyBorder="1"/>
    <xf numFmtId="164" fontId="3" fillId="0" borderId="11" xfId="45" applyNumberFormat="1" applyFont="1" applyBorder="1"/>
    <xf numFmtId="0" fontId="3" fillId="0" borderId="0" xfId="0" quotePrefix="1" applyFont="1" applyAlignment="1">
      <alignment horizontal="left"/>
    </xf>
    <xf numFmtId="0" fontId="8" fillId="0" borderId="0" xfId="54" applyFont="1" applyFill="1" applyAlignment="1">
      <alignment vertical="top"/>
    </xf>
    <xf numFmtId="37" fontId="8" fillId="0" borderId="0" xfId="54" applyNumberFormat="1" applyFont="1" applyFill="1" applyAlignment="1">
      <alignment vertical="top"/>
    </xf>
    <xf numFmtId="37" fontId="8" fillId="0" borderId="7" xfId="54" applyNumberFormat="1" applyFont="1" applyFill="1" applyBorder="1" applyAlignment="1">
      <alignment vertical="top"/>
    </xf>
    <xf numFmtId="0" fontId="8" fillId="0" borderId="0" xfId="42" applyFont="1">
      <alignment vertical="top"/>
    </xf>
    <xf numFmtId="0" fontId="32" fillId="0" borderId="0" xfId="42" applyFont="1" applyAlignment="1"/>
    <xf numFmtId="0" fontId="32" fillId="0" borderId="0" xfId="54" applyFont="1" applyAlignment="1">
      <alignment horizontal="center"/>
    </xf>
    <xf numFmtId="0" fontId="32" fillId="0" borderId="0" xfId="42" applyFont="1" applyAlignment="1">
      <alignment horizontal="center"/>
    </xf>
    <xf numFmtId="37" fontId="11" fillId="0" borderId="0" xfId="54" applyNumberFormat="1" applyFont="1" applyAlignment="1">
      <alignment horizontal="center"/>
    </xf>
    <xf numFmtId="37" fontId="32" fillId="0" borderId="0" xfId="54" applyNumberFormat="1" applyFont="1" applyAlignment="1">
      <alignment horizontal="center"/>
    </xf>
    <xf numFmtId="37" fontId="11" fillId="0" borderId="7" xfId="54" applyNumberFormat="1" applyFont="1" applyBorder="1" applyAlignment="1">
      <alignment horizontal="center"/>
    </xf>
    <xf numFmtId="0" fontId="32" fillId="0" borderId="7" xfId="54" quotePrefix="1" applyFont="1" applyBorder="1" applyAlignment="1">
      <alignment horizontal="center" wrapText="1"/>
    </xf>
    <xf numFmtId="0" fontId="32" fillId="0" borderId="7" xfId="54" quotePrefix="1" applyFont="1" applyBorder="1" applyAlignment="1">
      <alignment horizontal="center"/>
    </xf>
    <xf numFmtId="37" fontId="11" fillId="0" borderId="11" xfId="54" applyNumberFormat="1" applyFont="1" applyBorder="1" applyAlignment="1">
      <alignment horizontal="center"/>
    </xf>
    <xf numFmtId="164" fontId="11" fillId="0" borderId="7" xfId="17" applyNumberFormat="1" applyFont="1" applyFill="1" applyBorder="1"/>
    <xf numFmtId="164" fontId="32" fillId="0" borderId="32" xfId="69" applyNumberFormat="1" applyFont="1" applyFill="1" applyBorder="1"/>
    <xf numFmtId="0" fontId="3" fillId="0" borderId="0" xfId="60" applyFont="1"/>
    <xf numFmtId="174" fontId="3" fillId="0" borderId="0" xfId="60" applyNumberFormat="1" applyFont="1"/>
    <xf numFmtId="0" fontId="8" fillId="0" borderId="0" xfId="48" applyFont="1"/>
    <xf numFmtId="37" fontId="8" fillId="0" borderId="0" xfId="48" applyNumberFormat="1" applyFont="1"/>
    <xf numFmtId="37" fontId="8" fillId="0" borderId="7" xfId="48" applyNumberFormat="1" applyFont="1" applyBorder="1"/>
    <xf numFmtId="10" fontId="3" fillId="0" borderId="0" xfId="82" applyNumberFormat="1" applyFont="1"/>
    <xf numFmtId="0" fontId="7" fillId="0" borderId="0" xfId="0" applyFont="1" applyAlignment="1">
      <alignment horizontal="left"/>
    </xf>
    <xf numFmtId="0" fontId="7" fillId="0" borderId="0" xfId="0" applyFont="1" applyFill="1" applyAlignment="1">
      <alignment horizontal="left"/>
    </xf>
    <xf numFmtId="0" fontId="11" fillId="0" borderId="0" xfId="61" applyFont="1"/>
    <xf numFmtId="43" fontId="3" fillId="0" borderId="0" xfId="94" applyFont="1"/>
    <xf numFmtId="43" fontId="3" fillId="0" borderId="0" xfId="94" applyFont="1" applyFill="1"/>
    <xf numFmtId="0" fontId="32" fillId="0" borderId="0" xfId="0" applyFont="1" applyAlignment="1" applyProtection="1">
      <alignment horizontal="left"/>
      <protection locked="0"/>
    </xf>
    <xf numFmtId="0" fontId="11" fillId="0" borderId="0" xfId="0" applyFont="1" applyAlignment="1" applyProtection="1">
      <alignment horizontal="left"/>
      <protection locked="0"/>
    </xf>
    <xf numFmtId="0" fontId="45" fillId="0" borderId="7" xfId="0" applyFont="1" applyBorder="1" applyAlignment="1">
      <alignment horizontal="center"/>
    </xf>
    <xf numFmtId="43" fontId="3" fillId="0" borderId="0" xfId="94" quotePrefix="1" applyFont="1" applyAlignment="1">
      <alignment horizontal="center"/>
    </xf>
    <xf numFmtId="43" fontId="3" fillId="0" borderId="0" xfId="94" quotePrefix="1" applyFont="1" applyFill="1" applyAlignment="1">
      <alignment horizontal="center"/>
    </xf>
    <xf numFmtId="43" fontId="45" fillId="0" borderId="0" xfId="94" applyFont="1" applyAlignment="1">
      <alignment horizontal="center"/>
    </xf>
    <xf numFmtId="43" fontId="45" fillId="0" borderId="0" xfId="94" quotePrefix="1" applyFont="1" applyFill="1" applyAlignment="1">
      <alignment horizontal="center"/>
    </xf>
    <xf numFmtId="43" fontId="45" fillId="0" borderId="0" xfId="94" quotePrefix="1" applyFont="1" applyAlignment="1">
      <alignment horizontal="center"/>
    </xf>
    <xf numFmtId="43" fontId="45" fillId="0" borderId="0" xfId="94" applyFont="1" applyFill="1" applyAlignment="1">
      <alignment horizontal="center"/>
    </xf>
    <xf numFmtId="164" fontId="3" fillId="0" borderId="0" xfId="2" applyNumberFormat="1" applyFont="1" applyFill="1"/>
    <xf numFmtId="164" fontId="45" fillId="0" borderId="0" xfId="2" applyNumberFormat="1" applyFont="1" applyFill="1"/>
    <xf numFmtId="0" fontId="3" fillId="0" borderId="0" xfId="0" applyFont="1" applyFill="1"/>
    <xf numFmtId="164" fontId="3" fillId="0" borderId="11" xfId="2" applyNumberFormat="1" applyFont="1" applyBorder="1"/>
    <xf numFmtId="164" fontId="3" fillId="0" borderId="11" xfId="2" applyNumberFormat="1" applyFont="1" applyFill="1" applyBorder="1"/>
    <xf numFmtId="164" fontId="3" fillId="0" borderId="0" xfId="94" applyNumberFormat="1" applyFont="1"/>
    <xf numFmtId="164" fontId="3" fillId="0" borderId="0" xfId="94" applyNumberFormat="1" applyFont="1" applyFill="1"/>
    <xf numFmtId="0" fontId="45" fillId="0" borderId="0" xfId="0" applyFont="1"/>
    <xf numFmtId="0" fontId="3" fillId="0" borderId="0" xfId="0" applyFont="1" applyAlignment="1">
      <alignment horizontal="left" indent="1"/>
    </xf>
    <xf numFmtId="164" fontId="3" fillId="0" borderId="0" xfId="0" applyNumberFormat="1" applyFont="1" applyBorder="1"/>
    <xf numFmtId="164" fontId="3" fillId="0" borderId="0" xfId="94" applyNumberFormat="1" applyFont="1" applyBorder="1"/>
    <xf numFmtId="164" fontId="45" fillId="0" borderId="0" xfId="0" applyNumberFormat="1" applyFont="1" applyBorder="1"/>
    <xf numFmtId="164" fontId="45" fillId="0" borderId="7" xfId="0" applyNumberFormat="1" applyFont="1" applyBorder="1"/>
    <xf numFmtId="164" fontId="3" fillId="0" borderId="0" xfId="0" applyNumberFormat="1" applyFont="1" applyFill="1"/>
    <xf numFmtId="37" fontId="7" fillId="0" borderId="5" xfId="96" applyNumberFormat="1" applyFont="1" applyBorder="1" applyAlignment="1">
      <alignment vertical="top"/>
    </xf>
    <xf numFmtId="164" fontId="8" fillId="7" borderId="5" xfId="2" applyNumberFormat="1" applyFont="1" applyFill="1" applyBorder="1" applyAlignment="1">
      <alignment vertical="top"/>
    </xf>
    <xf numFmtId="164" fontId="7" fillId="7" borderId="5" xfId="2" applyNumberFormat="1" applyFont="1" applyFill="1" applyBorder="1" applyAlignment="1">
      <alignment vertical="top"/>
    </xf>
    <xf numFmtId="164" fontId="8" fillId="0" borderId="17" xfId="2" applyNumberFormat="1" applyFont="1" applyBorder="1" applyAlignment="1">
      <alignment vertical="top"/>
    </xf>
    <xf numFmtId="164" fontId="7" fillId="0" borderId="17" xfId="2" applyNumberFormat="1" applyFont="1" applyBorder="1" applyAlignment="1">
      <alignment vertical="top"/>
    </xf>
    <xf numFmtId="164" fontId="8" fillId="0" borderId="5" xfId="2" applyNumberFormat="1" applyFont="1" applyBorder="1" applyAlignment="1">
      <alignment vertical="top"/>
    </xf>
    <xf numFmtId="164" fontId="8" fillId="7" borderId="17" xfId="2" applyNumberFormat="1" applyFont="1" applyFill="1" applyBorder="1" applyAlignment="1">
      <alignment vertical="top"/>
    </xf>
    <xf numFmtId="164" fontId="8" fillId="0" borderId="19" xfId="2" applyNumberFormat="1" applyFont="1" applyBorder="1" applyAlignment="1">
      <alignment vertical="top"/>
    </xf>
    <xf numFmtId="164" fontId="3" fillId="0" borderId="0" xfId="2" applyNumberFormat="1" applyFont="1" applyBorder="1"/>
    <xf numFmtId="0" fontId="45" fillId="0" borderId="0" xfId="0" applyFont="1" applyBorder="1" applyAlignment="1">
      <alignment horizontal="center"/>
    </xf>
    <xf numFmtId="164" fontId="3" fillId="0" borderId="11" xfId="0" applyNumberFormat="1" applyFont="1" applyBorder="1"/>
    <xf numFmtId="164" fontId="45" fillId="0" borderId="11" xfId="0" applyNumberFormat="1" applyFont="1" applyBorder="1"/>
    <xf numFmtId="0" fontId="45" fillId="0" borderId="5" xfId="0" applyFont="1" applyBorder="1" applyAlignment="1">
      <alignment horizontal="center"/>
    </xf>
    <xf numFmtId="0" fontId="45" fillId="0" borderId="1" xfId="0" applyFont="1" applyBorder="1" applyAlignment="1">
      <alignment horizontal="center"/>
    </xf>
    <xf numFmtId="0" fontId="45" fillId="0" borderId="3" xfId="0" applyFont="1" applyBorder="1" applyAlignment="1">
      <alignment horizontal="center"/>
    </xf>
    <xf numFmtId="0" fontId="45" fillId="0" borderId="33" xfId="0" applyFont="1" applyBorder="1" applyAlignment="1">
      <alignment horizontal="center"/>
    </xf>
    <xf numFmtId="0" fontId="11" fillId="0" borderId="0" xfId="281" applyFont="1"/>
    <xf numFmtId="0" fontId="8" fillId="0" borderId="0" xfId="281" applyFont="1" applyFill="1" applyBorder="1" applyAlignment="1">
      <alignment horizontal="center" vertical="top"/>
    </xf>
    <xf numFmtId="175" fontId="40" fillId="0" borderId="0" xfId="95" quotePrefix="1" applyFont="1" applyFill="1" applyAlignment="1">
      <alignment horizontal="left" wrapText="1"/>
    </xf>
    <xf numFmtId="164" fontId="6" fillId="0" borderId="0" xfId="63" applyNumberFormat="1"/>
    <xf numFmtId="0" fontId="26" fillId="0" borderId="0" xfId="282" applyFont="1"/>
    <xf numFmtId="0" fontId="90" fillId="0" borderId="0" xfId="282"/>
    <xf numFmtId="0" fontId="7" fillId="0" borderId="0" xfId="282" applyFont="1"/>
    <xf numFmtId="0" fontId="7" fillId="0" borderId="0" xfId="282" applyFont="1" applyFill="1"/>
    <xf numFmtId="0" fontId="91" fillId="0" borderId="0" xfId="282" applyFont="1"/>
    <xf numFmtId="0" fontId="7" fillId="0" borderId="0" xfId="282" applyFont="1" applyFill="1" applyAlignment="1">
      <alignment horizontal="center" textRotation="90" wrapText="1"/>
    </xf>
    <xf numFmtId="0" fontId="7" fillId="0" borderId="0" xfId="282" applyFont="1" applyFill="1" applyAlignment="1">
      <alignment horizontal="center" textRotation="90"/>
    </xf>
    <xf numFmtId="0" fontId="7" fillId="0" borderId="0" xfId="282" quotePrefix="1" applyFont="1" applyFill="1" applyAlignment="1">
      <alignment horizontal="center" textRotation="90"/>
    </xf>
    <xf numFmtId="0" fontId="7" fillId="0" borderId="0" xfId="282" applyFont="1" applyAlignment="1">
      <alignment horizontal="center" wrapText="1"/>
    </xf>
    <xf numFmtId="3" fontId="90" fillId="0" borderId="0" xfId="282" applyNumberFormat="1"/>
    <xf numFmtId="3" fontId="26" fillId="0" borderId="0" xfId="282" applyNumberFormat="1" applyFont="1"/>
    <xf numFmtId="3" fontId="90" fillId="0" borderId="7" xfId="282" applyNumberFormat="1" applyBorder="1"/>
    <xf numFmtId="0" fontId="7" fillId="0" borderId="0" xfId="282" applyFont="1" applyAlignment="1">
      <alignment horizontal="right"/>
    </xf>
    <xf numFmtId="3" fontId="90" fillId="0" borderId="6" xfId="282" applyNumberFormat="1" applyBorder="1"/>
    <xf numFmtId="37" fontId="90" fillId="0" borderId="0" xfId="282" applyNumberFormat="1" applyBorder="1"/>
    <xf numFmtId="37" fontId="7" fillId="0" borderId="15" xfId="282" applyNumberFormat="1" applyFont="1" applyBorder="1"/>
    <xf numFmtId="37" fontId="7" fillId="0" borderId="0" xfId="282" applyNumberFormat="1" applyFont="1" applyBorder="1"/>
    <xf numFmtId="37" fontId="26" fillId="0" borderId="0" xfId="282" applyNumberFormat="1" applyFont="1" applyBorder="1"/>
    <xf numFmtId="37" fontId="8" fillId="0" borderId="0" xfId="282" applyNumberFormat="1" applyFont="1" applyBorder="1"/>
    <xf numFmtId="37" fontId="26" fillId="0" borderId="0" xfId="282" applyNumberFormat="1" applyFont="1"/>
    <xf numFmtId="2" fontId="90" fillId="0" borderId="0" xfId="282" quotePrefix="1" applyNumberFormat="1" applyFill="1" applyAlignment="1">
      <alignment horizontal="left" wrapText="1"/>
    </xf>
    <xf numFmtId="0" fontId="90" fillId="0" borderId="0" xfId="282" quotePrefix="1" applyAlignment="1">
      <alignment horizontal="left"/>
    </xf>
    <xf numFmtId="0" fontId="91" fillId="0" borderId="0" xfId="282" applyFont="1" applyAlignment="1">
      <alignment horizontal="right"/>
    </xf>
    <xf numFmtId="0" fontId="7" fillId="0" borderId="0" xfId="57" applyFont="1" applyAlignment="1"/>
    <xf numFmtId="0" fontId="8" fillId="0" borderId="0" xfId="57"/>
    <xf numFmtId="17" fontId="7" fillId="0" borderId="0" xfId="75" applyNumberFormat="1" applyFont="1" applyAlignment="1">
      <alignment horizontal="center"/>
    </xf>
    <xf numFmtId="43" fontId="0" fillId="0" borderId="0" xfId="14" applyFont="1" applyBorder="1" applyAlignment="1">
      <alignment horizontal="center"/>
    </xf>
    <xf numFmtId="0" fontId="8" fillId="0" borderId="0" xfId="57" applyAlignment="1">
      <alignment horizontal="left" indent="1"/>
    </xf>
    <xf numFmtId="37" fontId="0" fillId="0" borderId="0" xfId="14" applyNumberFormat="1" applyFont="1" applyBorder="1"/>
    <xf numFmtId="37" fontId="4" fillId="0" borderId="0" xfId="14" applyNumberFormat="1" applyFont="1"/>
    <xf numFmtId="37" fontId="0" fillId="0" borderId="0" xfId="14" applyNumberFormat="1" applyFont="1"/>
    <xf numFmtId="37" fontId="0" fillId="0" borderId="7" xfId="14" applyNumberFormat="1" applyFont="1" applyBorder="1"/>
    <xf numFmtId="43" fontId="8" fillId="0" borderId="0" xfId="57" applyNumberFormat="1"/>
    <xf numFmtId="37" fontId="0" fillId="0" borderId="0" xfId="14" applyNumberFormat="1" applyFont="1" applyBorder="1" applyAlignment="1">
      <alignment horizontal="center"/>
    </xf>
    <xf numFmtId="43" fontId="0" fillId="0" borderId="0" xfId="14" applyFont="1"/>
    <xf numFmtId="37" fontId="8" fillId="0" borderId="0" xfId="57" applyNumberFormat="1"/>
    <xf numFmtId="37" fontId="45" fillId="0" borderId="0" xfId="14" quotePrefix="1" applyNumberFormat="1" applyFont="1" applyAlignment="1">
      <alignment horizontal="center"/>
    </xf>
    <xf numFmtId="37" fontId="0" fillId="0" borderId="0" xfId="14" quotePrefix="1" applyNumberFormat="1" applyFont="1" applyAlignment="1">
      <alignment horizontal="center"/>
    </xf>
    <xf numFmtId="37" fontId="4" fillId="0" borderId="0" xfId="14" applyNumberFormat="1" applyFont="1" applyBorder="1"/>
    <xf numFmtId="0" fontId="32" fillId="0" borderId="7" xfId="69" applyFont="1" applyFill="1" applyBorder="1"/>
    <xf numFmtId="0" fontId="32" fillId="0" borderId="0" xfId="69" applyFont="1" applyFill="1"/>
    <xf numFmtId="43" fontId="92" fillId="0" borderId="0" xfId="17" applyFont="1" applyFill="1" applyAlignment="1">
      <alignment horizontal="center"/>
    </xf>
    <xf numFmtId="37" fontId="88" fillId="0" borderId="0" xfId="14" applyNumberFormat="1" applyFont="1"/>
    <xf numFmtId="37" fontId="88" fillId="0" borderId="0" xfId="14" applyNumberFormat="1" applyFont="1" applyBorder="1"/>
    <xf numFmtId="37" fontId="37" fillId="0" borderId="0" xfId="14" applyNumberFormat="1" applyFont="1"/>
    <xf numFmtId="37" fontId="37" fillId="0" borderId="0" xfId="14" applyNumberFormat="1" applyFont="1" applyBorder="1"/>
    <xf numFmtId="40" fontId="32" fillId="0" borderId="0" xfId="73" applyNumberFormat="1" applyFont="1" applyFill="1" applyBorder="1" applyAlignment="1">
      <alignment vertical="top"/>
    </xf>
    <xf numFmtId="164" fontId="32" fillId="0" borderId="11" xfId="73" applyNumberFormat="1" applyFont="1" applyBorder="1"/>
    <xf numFmtId="0" fontId="39" fillId="0" borderId="0" xfId="60"/>
    <xf numFmtId="0" fontId="39" fillId="0" borderId="0" xfId="60" applyAlignment="1">
      <alignment horizontal="center"/>
    </xf>
    <xf numFmtId="164" fontId="3" fillId="0" borderId="0" xfId="60" applyNumberFormat="1" applyFont="1"/>
    <xf numFmtId="164" fontId="32" fillId="0" borderId="11" xfId="27" applyNumberFormat="1" applyFont="1" applyBorder="1"/>
    <xf numFmtId="41" fontId="11" fillId="0" borderId="0" xfId="60" applyNumberFormat="1" applyFont="1"/>
    <xf numFmtId="41" fontId="3" fillId="0" borderId="0" xfId="60" applyNumberFormat="1" applyFont="1"/>
    <xf numFmtId="41" fontId="11" fillId="0" borderId="7" xfId="60" applyNumberFormat="1" applyFont="1" applyBorder="1"/>
    <xf numFmtId="0" fontId="7" fillId="0" borderId="0" xfId="73" applyFont="1" applyFill="1" applyBorder="1" applyAlignment="1">
      <alignment horizontal="center" vertical="top"/>
    </xf>
    <xf numFmtId="0" fontId="32" fillId="0" borderId="0" xfId="54" applyFont="1" applyBorder="1" applyAlignment="1">
      <alignment horizontal="center"/>
    </xf>
    <xf numFmtId="44" fontId="3" fillId="0" borderId="0" xfId="0" applyNumberFormat="1" applyFont="1" applyBorder="1" applyAlignment="1">
      <alignment horizontal="center"/>
    </xf>
    <xf numFmtId="0" fontId="32" fillId="0" borderId="0" xfId="54" quotePrefix="1" applyFont="1" applyBorder="1" applyAlignment="1">
      <alignment horizontal="center"/>
    </xf>
    <xf numFmtId="0" fontId="8" fillId="0" borderId="0" xfId="42" applyFont="1" applyBorder="1">
      <alignment vertical="top"/>
    </xf>
    <xf numFmtId="180" fontId="31" fillId="0" borderId="0" xfId="69" applyNumberFormat="1" applyFont="1" applyFill="1"/>
    <xf numFmtId="0" fontId="2" fillId="0" borderId="0" xfId="0" applyFont="1" applyAlignment="1">
      <alignment horizontal="left"/>
    </xf>
    <xf numFmtId="164" fontId="2" fillId="0" borderId="0" xfId="2" applyNumberFormat="1" applyFont="1"/>
    <xf numFmtId="164" fontId="45" fillId="0" borderId="7" xfId="94" applyNumberFormat="1" applyFont="1" applyBorder="1"/>
    <xf numFmtId="0" fontId="7" fillId="12" borderId="0" xfId="54" applyFont="1" applyFill="1" applyAlignment="1">
      <alignment vertical="top"/>
    </xf>
    <xf numFmtId="37" fontId="7" fillId="12" borderId="0" xfId="54" applyNumberFormat="1" applyFont="1" applyFill="1" applyAlignment="1">
      <alignment vertical="top"/>
    </xf>
    <xf numFmtId="164" fontId="8" fillId="0" borderId="11" xfId="2" applyNumberFormat="1" applyFont="1" applyBorder="1"/>
    <xf numFmtId="41" fontId="32" fillId="0" borderId="0" xfId="60" applyNumberFormat="1" applyFont="1"/>
    <xf numFmtId="41" fontId="45" fillId="0" borderId="0" xfId="60" applyNumberFormat="1" applyFont="1"/>
    <xf numFmtId="0" fontId="32" fillId="0" borderId="7" xfId="69" applyFont="1" applyFill="1" applyBorder="1" applyAlignment="1">
      <alignment horizontal="center"/>
    </xf>
    <xf numFmtId="0" fontId="32" fillId="0" borderId="0" xfId="281" applyFont="1" applyAlignment="1">
      <alignment horizontal="center"/>
    </xf>
    <xf numFmtId="0" fontId="45" fillId="0" borderId="34" xfId="0" applyFont="1" applyBorder="1"/>
    <xf numFmtId="0" fontId="45" fillId="0" borderId="37" xfId="0" applyFont="1" applyBorder="1"/>
    <xf numFmtId="0" fontId="45" fillId="0" borderId="7" xfId="0" applyFont="1" applyBorder="1" applyAlignment="1">
      <alignment horizontal="center" wrapText="1"/>
    </xf>
    <xf numFmtId="236" fontId="45" fillId="0" borderId="7" xfId="0" applyNumberFormat="1" applyFont="1" applyBorder="1" applyAlignment="1">
      <alignment horizontal="center"/>
    </xf>
    <xf numFmtId="236" fontId="45" fillId="0" borderId="7" xfId="0" applyNumberFormat="1" applyFont="1" applyBorder="1" applyAlignment="1">
      <alignment horizontal="center" wrapText="1"/>
    </xf>
    <xf numFmtId="236" fontId="45" fillId="0" borderId="38" xfId="0" applyNumberFormat="1" applyFont="1" applyBorder="1" applyAlignment="1">
      <alignment horizontal="center" wrapText="1"/>
    </xf>
    <xf numFmtId="164" fontId="45" fillId="0" borderId="41" xfId="0" applyNumberFormat="1" applyFont="1" applyBorder="1"/>
    <xf numFmtId="0" fontId="1" fillId="0" borderId="0" xfId="0" applyFont="1"/>
    <xf numFmtId="0" fontId="1" fillId="0" borderId="0" xfId="0" applyFont="1" applyAlignment="1">
      <alignment horizontal="left"/>
    </xf>
    <xf numFmtId="164" fontId="1" fillId="0" borderId="0" xfId="0" applyNumberFormat="1" applyFont="1"/>
    <xf numFmtId="0" fontId="45" fillId="0" borderId="0" xfId="0" applyFont="1" applyAlignment="1">
      <alignment horizontal="left"/>
    </xf>
    <xf numFmtId="0" fontId="1" fillId="0" borderId="7" xfId="0" applyFont="1" applyBorder="1" applyAlignment="1">
      <alignment horizontal="left"/>
    </xf>
    <xf numFmtId="164" fontId="1" fillId="0" borderId="7" xfId="0" applyNumberFormat="1" applyFont="1" applyBorder="1"/>
    <xf numFmtId="0" fontId="1" fillId="0" borderId="35" xfId="0" applyFont="1" applyBorder="1"/>
    <xf numFmtId="0" fontId="1" fillId="0" borderId="36" xfId="0" applyFont="1" applyBorder="1"/>
    <xf numFmtId="0" fontId="1" fillId="0" borderId="26" xfId="0" applyFont="1" applyBorder="1" applyAlignment="1">
      <alignment horizontal="left"/>
    </xf>
    <xf numFmtId="0" fontId="1" fillId="0" borderId="0" xfId="0" applyFont="1" applyBorder="1"/>
    <xf numFmtId="164" fontId="1" fillId="0" borderId="0" xfId="0" applyNumberFormat="1" applyFont="1" applyBorder="1"/>
    <xf numFmtId="164" fontId="1" fillId="0" borderId="39" xfId="0" applyNumberFormat="1" applyFont="1" applyBorder="1"/>
    <xf numFmtId="0" fontId="1" fillId="0" borderId="26" xfId="0" applyFont="1" applyBorder="1"/>
    <xf numFmtId="164" fontId="1" fillId="0" borderId="38" xfId="0" applyNumberFormat="1" applyFont="1" applyBorder="1"/>
    <xf numFmtId="0" fontId="1" fillId="0" borderId="40" xfId="0" applyFont="1" applyBorder="1" applyAlignment="1">
      <alignment horizontal="left"/>
    </xf>
    <xf numFmtId="0" fontId="1" fillId="0" borderId="4" xfId="0" applyFont="1" applyBorder="1"/>
    <xf numFmtId="164" fontId="1" fillId="0" borderId="4" xfId="0" applyNumberFormat="1" applyFont="1" applyBorder="1"/>
    <xf numFmtId="43" fontId="1" fillId="0" borderId="0" xfId="0" applyNumberFormat="1" applyFont="1"/>
    <xf numFmtId="2" fontId="90" fillId="0" borderId="0" xfId="282" quotePrefix="1" applyNumberFormat="1" applyFill="1" applyAlignment="1">
      <alignment horizontal="left" wrapText="1"/>
    </xf>
    <xf numFmtId="0" fontId="26" fillId="0" borderId="0" xfId="283" applyFont="1"/>
    <xf numFmtId="0" fontId="8" fillId="0" borderId="0" xfId="283"/>
    <xf numFmtId="0" fontId="7" fillId="0" borderId="0" xfId="0" applyFont="1" applyFill="1" applyAlignment="1">
      <alignment horizontal="center" textRotation="90"/>
    </xf>
    <xf numFmtId="3" fontId="7" fillId="0" borderId="0" xfId="74" applyNumberFormat="1" applyFont="1" applyAlignment="1">
      <alignment horizontal="center" textRotation="90" wrapText="1"/>
    </xf>
    <xf numFmtId="3" fontId="7" fillId="0" borderId="0" xfId="74" applyNumberFormat="1" applyFont="1" applyFill="1" applyAlignment="1">
      <alignment horizontal="center" textRotation="90" wrapText="1"/>
    </xf>
    <xf numFmtId="0" fontId="91" fillId="0" borderId="0" xfId="283" applyFont="1" applyFill="1" applyAlignment="1">
      <alignment horizontal="center" textRotation="90"/>
    </xf>
    <xf numFmtId="0" fontId="7" fillId="0" borderId="0" xfId="283" applyFont="1"/>
    <xf numFmtId="2" fontId="7" fillId="0" borderId="0" xfId="74" applyNumberFormat="1" applyFont="1" applyFill="1" applyAlignment="1">
      <alignment horizontal="center" vertical="center"/>
    </xf>
    <xf numFmtId="2" fontId="7" fillId="0" borderId="0" xfId="74" quotePrefix="1" applyNumberFormat="1" applyFont="1" applyFill="1" applyAlignment="1">
      <alignment horizontal="center" vertical="center" wrapText="1"/>
    </xf>
    <xf numFmtId="3" fontId="8" fillId="0" borderId="0" xfId="0" applyNumberFormat="1" applyFont="1" applyFill="1"/>
    <xf numFmtId="3" fontId="0" fillId="0" borderId="0" xfId="0" applyNumberFormat="1"/>
    <xf numFmtId="37" fontId="0" fillId="0" borderId="0" xfId="0" applyNumberFormat="1" applyFill="1"/>
    <xf numFmtId="37" fontId="26" fillId="0" borderId="0" xfId="283" applyNumberFormat="1" applyFont="1"/>
    <xf numFmtId="0" fontId="93" fillId="0" borderId="0" xfId="283" applyFont="1"/>
    <xf numFmtId="3" fontId="8" fillId="0" borderId="0" xfId="0" applyNumberFormat="1" applyFont="1" applyFill="1" applyBorder="1"/>
    <xf numFmtId="3" fontId="0" fillId="0" borderId="7" xfId="0" applyNumberFormat="1" applyBorder="1"/>
    <xf numFmtId="37" fontId="0" fillId="0" borderId="7" xfId="0" applyNumberFormat="1" applyFill="1" applyBorder="1"/>
    <xf numFmtId="3" fontId="8" fillId="0" borderId="0" xfId="74" applyNumberFormat="1" applyFont="1" applyFill="1" applyBorder="1"/>
    <xf numFmtId="0" fontId="7" fillId="0" borderId="0" xfId="74" quotePrefix="1" applyFont="1" applyFill="1" applyBorder="1" applyAlignment="1">
      <alignment horizontal="right"/>
    </xf>
    <xf numFmtId="3" fontId="8" fillId="0" borderId="6" xfId="74" applyNumberFormat="1" applyFont="1" applyFill="1" applyBorder="1"/>
    <xf numFmtId="0" fontId="7" fillId="0" borderId="0" xfId="283" applyFont="1" applyAlignment="1">
      <alignment horizontal="right"/>
    </xf>
    <xf numFmtId="0" fontId="21" fillId="0" borderId="0" xfId="74" applyFill="1"/>
    <xf numFmtId="3" fontId="21" fillId="0" borderId="0" xfId="74" applyNumberFormat="1" applyFill="1"/>
    <xf numFmtId="0" fontId="33" fillId="0" borderId="0" xfId="0" applyFont="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7" fillId="0" borderId="0" xfId="0" applyFont="1"/>
    <xf numFmtId="37" fontId="0" fillId="0" borderId="11" xfId="0" applyNumberFormat="1" applyFill="1" applyBorder="1"/>
    <xf numFmtId="10" fontId="0" fillId="0" borderId="0" xfId="0" applyNumberFormat="1" applyFill="1"/>
    <xf numFmtId="10" fontId="0" fillId="0" borderId="0" xfId="222" applyNumberFormat="1" applyFont="1" applyFill="1"/>
    <xf numFmtId="3" fontId="8" fillId="0" borderId="0" xfId="0" applyNumberFormat="1" applyFont="1" applyBorder="1"/>
    <xf numFmtId="0" fontId="8" fillId="0" borderId="0" xfId="74" applyFont="1" applyFill="1" applyBorder="1"/>
    <xf numFmtId="0" fontId="8" fillId="0" borderId="0" xfId="74" applyFont="1" applyFill="1"/>
    <xf numFmtId="0" fontId="8" fillId="0" borderId="0" xfId="283" applyFont="1"/>
    <xf numFmtId="0" fontId="8" fillId="0" borderId="0" xfId="283" quotePrefix="1"/>
    <xf numFmtId="0" fontId="7" fillId="0" borderId="0" xfId="283" quotePrefix="1" applyFont="1" applyFill="1" applyAlignment="1">
      <alignment horizontal="center" textRotation="90"/>
    </xf>
    <xf numFmtId="0" fontId="7" fillId="0" borderId="0" xfId="283" applyFont="1" applyAlignment="1">
      <alignment horizontal="center" wrapText="1"/>
    </xf>
    <xf numFmtId="37" fontId="8" fillId="0" borderId="0" xfId="74" applyNumberFormat="1" applyFont="1" applyAlignment="1">
      <alignment horizontal="right"/>
    </xf>
    <xf numFmtId="3" fontId="8" fillId="0" borderId="0" xfId="283" applyNumberFormat="1"/>
    <xf numFmtId="37" fontId="8" fillId="0" borderId="7" xfId="74" applyNumberFormat="1" applyFont="1" applyBorder="1" applyAlignment="1">
      <alignment horizontal="right"/>
    </xf>
    <xf numFmtId="3" fontId="8" fillId="0" borderId="7" xfId="283" applyNumberFormat="1" applyBorder="1"/>
    <xf numFmtId="0" fontId="0" fillId="0" borderId="0" xfId="0" applyFill="1"/>
    <xf numFmtId="37" fontId="0" fillId="0" borderId="6" xfId="0" applyNumberFormat="1" applyBorder="1"/>
    <xf numFmtId="37" fontId="8" fillId="0" borderId="0" xfId="283" applyNumberFormat="1" applyBorder="1"/>
    <xf numFmtId="3" fontId="7" fillId="0" borderId="0" xfId="74" quotePrefix="1" applyNumberFormat="1" applyFont="1" applyFill="1" applyAlignment="1"/>
    <xf numFmtId="0" fontId="8" fillId="0" borderId="0" xfId="283" quotePrefix="1" applyAlignment="1">
      <alignment vertical="top"/>
    </xf>
    <xf numFmtId="0" fontId="7" fillId="0" borderId="0" xfId="42" quotePrefix="1" applyFont="1" applyAlignment="1">
      <alignment horizontal="center" vertical="top"/>
    </xf>
    <xf numFmtId="0" fontId="7" fillId="0" borderId="0" xfId="42" applyFont="1" applyAlignment="1">
      <alignment horizontal="center" vertical="top"/>
    </xf>
    <xf numFmtId="175" fontId="42" fillId="0" borderId="0" xfId="95" applyFont="1" applyFill="1" applyAlignment="1">
      <alignment horizontal="center"/>
    </xf>
    <xf numFmtId="0" fontId="7" fillId="0" borderId="0" xfId="54" applyFont="1" applyAlignment="1">
      <alignment horizontal="center" vertical="top"/>
    </xf>
    <xf numFmtId="0" fontId="7" fillId="0" borderId="0" xfId="54" quotePrefix="1" applyFont="1" applyAlignment="1">
      <alignment horizontal="center" vertical="top"/>
    </xf>
    <xf numFmtId="0" fontId="7" fillId="0" borderId="0" xfId="40" applyFont="1" applyAlignment="1" applyProtection="1">
      <alignment horizontal="center"/>
      <protection locked="0"/>
    </xf>
    <xf numFmtId="172" fontId="7" fillId="0" borderId="0" xfId="40" applyNumberFormat="1" applyFont="1" applyAlignment="1" applyProtection="1">
      <alignment horizontal="center"/>
      <protection locked="0"/>
    </xf>
    <xf numFmtId="0" fontId="32" fillId="0" borderId="7" xfId="46" applyFont="1" applyBorder="1" applyAlignment="1">
      <alignment horizontal="center"/>
    </xf>
    <xf numFmtId="0" fontId="32" fillId="0" borderId="0" xfId="0" applyFont="1" applyAlignment="1">
      <alignment horizontal="center"/>
    </xf>
    <xf numFmtId="15" fontId="32" fillId="0" borderId="0" xfId="0" applyNumberFormat="1" applyFont="1" applyAlignment="1">
      <alignment horizontal="center"/>
    </xf>
    <xf numFmtId="0" fontId="31" fillId="0" borderId="7" xfId="60" applyFont="1" applyBorder="1" applyAlignment="1">
      <alignment horizontal="center"/>
    </xf>
    <xf numFmtId="0" fontId="32" fillId="0" borderId="0" xfId="60" applyFont="1" applyAlignment="1">
      <alignment horizontal="center"/>
    </xf>
    <xf numFmtId="49" fontId="32" fillId="0" borderId="0" xfId="60" applyNumberFormat="1" applyFont="1" applyAlignment="1">
      <alignment horizontal="center"/>
    </xf>
    <xf numFmtId="0" fontId="27" fillId="0" borderId="7" xfId="54" applyFont="1" applyBorder="1" applyAlignment="1">
      <alignment horizontal="center"/>
    </xf>
    <xf numFmtId="0" fontId="27" fillId="0" borderId="0" xfId="54" applyFont="1" applyBorder="1" applyAlignment="1">
      <alignment horizontal="center"/>
    </xf>
    <xf numFmtId="0" fontId="27" fillId="0" borderId="0" xfId="63" applyFont="1" applyAlignment="1">
      <alignment horizontal="center"/>
    </xf>
    <xf numFmtId="0" fontId="27" fillId="0" borderId="0" xfId="63" quotePrefix="1" applyFont="1" applyAlignment="1">
      <alignment horizontal="center"/>
    </xf>
    <xf numFmtId="49" fontId="27" fillId="0" borderId="0" xfId="63" applyNumberFormat="1" applyFont="1" applyAlignment="1">
      <alignment horizontal="center"/>
    </xf>
    <xf numFmtId="0" fontId="11" fillId="0" borderId="0" xfId="281" applyFont="1" applyAlignment="1">
      <alignment horizontal="left" wrapText="1"/>
    </xf>
    <xf numFmtId="0" fontId="7" fillId="0" borderId="0" xfId="73" applyFont="1" applyFill="1" applyBorder="1" applyAlignment="1">
      <alignment horizontal="center" vertical="top"/>
    </xf>
    <xf numFmtId="0" fontId="7" fillId="0" borderId="0" xfId="73" quotePrefix="1" applyFont="1" applyFill="1" applyBorder="1" applyAlignment="1">
      <alignment horizontal="center" vertical="top"/>
    </xf>
    <xf numFmtId="0" fontId="11" fillId="0" borderId="0" xfId="281" applyFont="1" applyAlignment="1">
      <alignment wrapText="1"/>
    </xf>
    <xf numFmtId="0" fontId="45" fillId="0" borderId="0" xfId="0" applyFont="1" applyAlignment="1">
      <alignment horizontal="center"/>
    </xf>
    <xf numFmtId="0" fontId="32" fillId="0" borderId="0" xfId="281" applyFont="1" applyAlignment="1">
      <alignment horizontal="center"/>
    </xf>
    <xf numFmtId="0" fontId="32" fillId="0" borderId="0" xfId="54" quotePrefix="1" applyFont="1" applyAlignment="1">
      <alignment horizontal="center"/>
    </xf>
    <xf numFmtId="0" fontId="32" fillId="0" borderId="0" xfId="54" applyFont="1" applyAlignment="1">
      <alignment horizontal="center"/>
    </xf>
    <xf numFmtId="3" fontId="7" fillId="0" borderId="0" xfId="74" quotePrefix="1" applyNumberFormat="1" applyFont="1" applyFill="1" applyAlignment="1">
      <alignment horizontal="center"/>
    </xf>
    <xf numFmtId="2" fontId="8" fillId="0" borderId="0" xfId="282" quotePrefix="1" applyNumberFormat="1" applyFont="1" applyFill="1" applyAlignment="1">
      <alignment horizontal="left" wrapText="1"/>
    </xf>
    <xf numFmtId="0" fontId="7" fillId="0" borderId="0" xfId="0" quotePrefix="1" applyFont="1" applyAlignment="1">
      <alignment horizontal="right" wrapText="1"/>
    </xf>
    <xf numFmtId="0" fontId="7" fillId="0" borderId="0" xfId="0" applyFont="1" applyAlignment="1">
      <alignment horizontal="right"/>
    </xf>
    <xf numFmtId="0" fontId="7" fillId="0" borderId="0" xfId="0" quotePrefix="1" applyFont="1" applyAlignment="1">
      <alignment horizontal="right"/>
    </xf>
    <xf numFmtId="0" fontId="7" fillId="0" borderId="0" xfId="283" quotePrefix="1" applyFont="1" applyAlignment="1">
      <alignment horizontal="center"/>
    </xf>
    <xf numFmtId="0" fontId="7" fillId="0" borderId="0" xfId="283" applyFont="1" applyAlignment="1">
      <alignment horizontal="center"/>
    </xf>
    <xf numFmtId="0" fontId="7" fillId="0" borderId="0" xfId="283" applyFont="1" applyAlignment="1">
      <alignment horizontal="right"/>
    </xf>
    <xf numFmtId="0" fontId="88" fillId="0" borderId="0" xfId="0" applyFont="1" applyAlignment="1">
      <alignment horizontal="center"/>
    </xf>
    <xf numFmtId="0" fontId="32" fillId="0" borderId="0" xfId="69" applyFont="1" applyFill="1" applyAlignment="1">
      <alignment horizontal="center"/>
    </xf>
    <xf numFmtId="0" fontId="7" fillId="0" borderId="0" xfId="57" quotePrefix="1" applyFont="1" applyAlignment="1">
      <alignment horizontal="center"/>
    </xf>
    <xf numFmtId="0" fontId="7" fillId="0" borderId="0" xfId="57" applyFont="1" applyAlignment="1">
      <alignment horizontal="center"/>
    </xf>
    <xf numFmtId="0" fontId="32" fillId="0" borderId="0" xfId="60" applyFont="1" applyAlignment="1">
      <alignment horizontal="left" wrapText="1"/>
    </xf>
    <xf numFmtId="0" fontId="7" fillId="0" borderId="0" xfId="41" applyFont="1" applyFill="1" applyAlignment="1">
      <alignment horizontal="center"/>
    </xf>
    <xf numFmtId="0" fontId="7" fillId="0" borderId="0" xfId="41" quotePrefix="1" applyFont="1" applyFill="1" applyAlignment="1">
      <alignment horizontal="center"/>
    </xf>
    <xf numFmtId="43" fontId="45" fillId="0" borderId="4" xfId="94" quotePrefix="1" applyFont="1" applyBorder="1" applyAlignment="1">
      <alignment horizontal="center"/>
    </xf>
    <xf numFmtId="0" fontId="7" fillId="0" borderId="0" xfId="0" applyFont="1" applyFill="1" applyBorder="1" applyAlignment="1">
      <alignment horizontal="center" vertical="top"/>
    </xf>
    <xf numFmtId="0" fontId="7" fillId="0" borderId="0" xfId="0" quotePrefix="1" applyFont="1" applyFill="1" applyBorder="1" applyAlignment="1">
      <alignment horizontal="center" vertical="top"/>
    </xf>
    <xf numFmtId="0" fontId="45" fillId="0" borderId="7" xfId="0" applyFont="1" applyBorder="1" applyAlignment="1">
      <alignment horizontal="center"/>
    </xf>
    <xf numFmtId="0" fontId="8" fillId="0" borderId="22" xfId="42" applyFont="1" applyBorder="1" applyAlignment="1">
      <alignment horizontal="center" vertical="top"/>
    </xf>
    <xf numFmtId="0" fontId="8" fillId="0" borderId="20" xfId="42" applyFont="1" applyBorder="1" applyAlignment="1">
      <alignment horizontal="center" vertical="top"/>
    </xf>
    <xf numFmtId="0" fontId="8" fillId="0" borderId="21" xfId="42" applyFont="1" applyBorder="1" applyAlignment="1">
      <alignment horizontal="center" vertical="top"/>
    </xf>
    <xf numFmtId="0" fontId="7" fillId="0" borderId="0" xfId="42" quotePrefix="1" applyFont="1" applyAlignment="1">
      <alignment horizontal="center" vertical="top"/>
    </xf>
    <xf numFmtId="0" fontId="7" fillId="0" borderId="0" xfId="42" applyFont="1" applyAlignment="1">
      <alignment horizontal="center" vertical="top"/>
    </xf>
    <xf numFmtId="0" fontId="45" fillId="0" borderId="0" xfId="0" quotePrefix="1" applyFont="1" applyAlignment="1">
      <alignment horizontal="center"/>
    </xf>
    <xf numFmtId="0" fontId="0" fillId="0" borderId="0" xfId="0" applyAlignment="1">
      <alignment horizontal="justify" vertical="center"/>
    </xf>
    <xf numFmtId="0" fontId="0" fillId="0" borderId="0" xfId="0" quotePrefix="1" applyAlignment="1">
      <alignment horizontal="justify" vertical="center"/>
    </xf>
  </cellXfs>
  <cellStyles count="284">
    <cellStyle name="=C:\WINNT35\SYSTEM32\COMMAND.COM" xfId="99"/>
    <cellStyle name="black" xfId="100"/>
    <cellStyle name="blu" xfId="101"/>
    <cellStyle name="Body" xfId="1"/>
    <cellStyle name="bot" xfId="102"/>
    <cellStyle name="Bullet" xfId="103"/>
    <cellStyle name="c" xfId="104"/>
    <cellStyle name="c," xfId="105"/>
    <cellStyle name="c_HardInc " xfId="106"/>
    <cellStyle name="C00A" xfId="107"/>
    <cellStyle name="C00B" xfId="108"/>
    <cellStyle name="C00L" xfId="109"/>
    <cellStyle name="C01A" xfId="110"/>
    <cellStyle name="C01B" xfId="111"/>
    <cellStyle name="C01H" xfId="112"/>
    <cellStyle name="C01L" xfId="113"/>
    <cellStyle name="C02A" xfId="114"/>
    <cellStyle name="C02B" xfId="115"/>
    <cellStyle name="C02H" xfId="116"/>
    <cellStyle name="C02L" xfId="117"/>
    <cellStyle name="C03A" xfId="118"/>
    <cellStyle name="C03B" xfId="119"/>
    <cellStyle name="C03H" xfId="120"/>
    <cellStyle name="C03L" xfId="121"/>
    <cellStyle name="C04A" xfId="122"/>
    <cellStyle name="C04B" xfId="123"/>
    <cellStyle name="C04H" xfId="124"/>
    <cellStyle name="C04L" xfId="125"/>
    <cellStyle name="C05A" xfId="126"/>
    <cellStyle name="C05B" xfId="127"/>
    <cellStyle name="C05H" xfId="128"/>
    <cellStyle name="C05L" xfId="129"/>
    <cellStyle name="C06A" xfId="130"/>
    <cellStyle name="C06B" xfId="131"/>
    <cellStyle name="C06H" xfId="132"/>
    <cellStyle name="C06L" xfId="133"/>
    <cellStyle name="C07A" xfId="134"/>
    <cellStyle name="C07B" xfId="135"/>
    <cellStyle name="C07H" xfId="136"/>
    <cellStyle name="C07L" xfId="137"/>
    <cellStyle name="c1" xfId="138"/>
    <cellStyle name="c1," xfId="139"/>
    <cellStyle name="c2" xfId="140"/>
    <cellStyle name="c2," xfId="141"/>
    <cellStyle name="c3" xfId="142"/>
    <cellStyle name="cas" xfId="143"/>
    <cellStyle name="Centered Heading" xfId="144"/>
    <cellStyle name="Comma" xfId="2" builtinId="3"/>
    <cellStyle name="Comma  - Style1" xfId="3"/>
    <cellStyle name="Comma  - Style2" xfId="4"/>
    <cellStyle name="Comma  - Style3" xfId="5"/>
    <cellStyle name="Comma  - Style4" xfId="6"/>
    <cellStyle name="Comma  - Style5" xfId="7"/>
    <cellStyle name="Comma  - Style6" xfId="8"/>
    <cellStyle name="Comma  - Style7" xfId="9"/>
    <cellStyle name="Comma  - Style8" xfId="10"/>
    <cellStyle name="Comma [0] 2" xfId="11"/>
    <cellStyle name="Comma [0] 2 2" xfId="12"/>
    <cellStyle name="Comma 0.0" xfId="145"/>
    <cellStyle name="Comma 0.00" xfId="146"/>
    <cellStyle name="Comma 0.000" xfId="147"/>
    <cellStyle name="Comma 0.0000" xfId="148"/>
    <cellStyle name="Comma 2" xfId="13"/>
    <cellStyle name="Comma 2 2" xfId="14"/>
    <cellStyle name="Comma 3" xfId="15"/>
    <cellStyle name="Comma 3 2" xfId="16"/>
    <cellStyle name="Comma 3 3" xfId="149"/>
    <cellStyle name="Comma 4" xfId="17"/>
    <cellStyle name="Comma 5" xfId="18"/>
    <cellStyle name="Comma 6" xfId="19"/>
    <cellStyle name="Comma 7" xfId="94"/>
    <cellStyle name="Comma0" xfId="150"/>
    <cellStyle name="Comma0 - Style2" xfId="20"/>
    <cellStyle name="Company Name" xfId="151"/>
    <cellStyle name="Currency [$0]" xfId="21"/>
    <cellStyle name="Currency [£0]" xfId="22"/>
    <cellStyle name="Currency 0.0" xfId="152"/>
    <cellStyle name="Currency 0.00" xfId="153"/>
    <cellStyle name="Currency 0.000" xfId="154"/>
    <cellStyle name="Currency 0.0000" xfId="155"/>
    <cellStyle name="Currency 2" xfId="23"/>
    <cellStyle name="Currency 2 2" xfId="156"/>
    <cellStyle name="Currency 3" xfId="24"/>
    <cellStyle name="Currency 3 2" xfId="25"/>
    <cellStyle name="Currency 4" xfId="26"/>
    <cellStyle name="Currency 5" xfId="27"/>
    <cellStyle name="Currency 6" xfId="97"/>
    <cellStyle name="Currency0" xfId="157"/>
    <cellStyle name="d" xfId="158"/>
    <cellStyle name="d," xfId="159"/>
    <cellStyle name="d1" xfId="160"/>
    <cellStyle name="d1," xfId="161"/>
    <cellStyle name="d2" xfId="162"/>
    <cellStyle name="d2," xfId="163"/>
    <cellStyle name="d3" xfId="164"/>
    <cellStyle name="Dash" xfId="165"/>
    <cellStyle name="Date" xfId="166"/>
    <cellStyle name="Define$0" xfId="167"/>
    <cellStyle name="Define$1" xfId="168"/>
    <cellStyle name="Define$2" xfId="169"/>
    <cellStyle name="Define0" xfId="170"/>
    <cellStyle name="Define1" xfId="171"/>
    <cellStyle name="Define1x" xfId="172"/>
    <cellStyle name="Define2" xfId="173"/>
    <cellStyle name="Define2x" xfId="174"/>
    <cellStyle name="Dollar" xfId="175"/>
    <cellStyle name="e" xfId="176"/>
    <cellStyle name="e1" xfId="177"/>
    <cellStyle name="e2" xfId="178"/>
    <cellStyle name="Euro" xfId="179"/>
    <cellStyle name="Fixed" xfId="180"/>
    <cellStyle name="Formula" xfId="28"/>
    <cellStyle name="fred" xfId="29"/>
    <cellStyle name="Fred%" xfId="30"/>
    <cellStyle name="fred_EGSI_TX_LA_SPLIT_BS_12_05_rev" xfId="31"/>
    <cellStyle name="g" xfId="181"/>
    <cellStyle name="general" xfId="182"/>
    <cellStyle name="Green" xfId="183"/>
    <cellStyle name="Grey" xfId="32"/>
    <cellStyle name="Header" xfId="33"/>
    <cellStyle name="Header1" xfId="34"/>
    <cellStyle name="Header2" xfId="35"/>
    <cellStyle name="Heading" xfId="36"/>
    <cellStyle name="Heading No Underline" xfId="184"/>
    <cellStyle name="Heading With Underline" xfId="185"/>
    <cellStyle name="Heading1" xfId="186"/>
    <cellStyle name="Heading2" xfId="187"/>
    <cellStyle name="Headline" xfId="188"/>
    <cellStyle name="Highlight" xfId="189"/>
    <cellStyle name="in" xfId="190"/>
    <cellStyle name="Input [yellow]" xfId="37"/>
    <cellStyle name="Input$0" xfId="191"/>
    <cellStyle name="Input$1" xfId="192"/>
    <cellStyle name="Input$2" xfId="193"/>
    <cellStyle name="Input0" xfId="194"/>
    <cellStyle name="Input1" xfId="195"/>
    <cellStyle name="Input1x" xfId="196"/>
    <cellStyle name="Input2" xfId="197"/>
    <cellStyle name="Input2x" xfId="198"/>
    <cellStyle name="lborder" xfId="199"/>
    <cellStyle name="m" xfId="200"/>
    <cellStyle name="m1" xfId="201"/>
    <cellStyle name="m2" xfId="202"/>
    <cellStyle name="m3" xfId="203"/>
    <cellStyle name="Negative" xfId="204"/>
    <cellStyle name="no dec" xfId="38"/>
    <cellStyle name="Normal" xfId="0" builtinId="0"/>
    <cellStyle name="Normal - Style1" xfId="39"/>
    <cellStyle name="Normal 10" xfId="40"/>
    <cellStyle name="Normal 11" xfId="41"/>
    <cellStyle name="Normal 12" xfId="42"/>
    <cellStyle name="Normal 12 2" xfId="96"/>
    <cellStyle name="Normal 13" xfId="43"/>
    <cellStyle name="Normal 14" xfId="44"/>
    <cellStyle name="Normal 15" xfId="45"/>
    <cellStyle name="Normal 16" xfId="46"/>
    <cellStyle name="Normal 17" xfId="47"/>
    <cellStyle name="Normal 17 2" xfId="48"/>
    <cellStyle name="Normal 17_EAI Workpapers" xfId="49"/>
    <cellStyle name="Normal 18" xfId="50"/>
    <cellStyle name="Normal 19" xfId="95"/>
    <cellStyle name="Normal 2" xfId="51"/>
    <cellStyle name="Normal 2 2" xfId="52"/>
    <cellStyle name="Normal 2_EAI Workpapers" xfId="53"/>
    <cellStyle name="Normal 20" xfId="279"/>
    <cellStyle name="Normal 21" xfId="280"/>
    <cellStyle name="Normal 22" xfId="282"/>
    <cellStyle name="Normal 25" xfId="283"/>
    <cellStyle name="Normal 3" xfId="54"/>
    <cellStyle name="Normal 3 2" xfId="55"/>
    <cellStyle name="Normal 3 3" xfId="205"/>
    <cellStyle name="Normal 3_ITC-Great Plains Heintz 6-24-08a" xfId="206"/>
    <cellStyle name="Normal 4" xfId="56"/>
    <cellStyle name="Normal 4 2" xfId="57"/>
    <cellStyle name="Normal 4_ITC-Great Plains Heintz 6-24-08a" xfId="207"/>
    <cellStyle name="Normal 5" xfId="58"/>
    <cellStyle name="Normal 5 2" xfId="59"/>
    <cellStyle name="Normal 5 3" xfId="60"/>
    <cellStyle name="Normal 5 3_EAI Workpapers" xfId="61"/>
    <cellStyle name="Normal 6" xfId="62"/>
    <cellStyle name="Normal 7" xfId="63"/>
    <cellStyle name="Normal 7 2" xfId="64"/>
    <cellStyle name="Normal 7 3" xfId="281"/>
    <cellStyle name="Normal 7_EAI Workpapers" xfId="65"/>
    <cellStyle name="Normal 8" xfId="66"/>
    <cellStyle name="Normal 8 2" xfId="67"/>
    <cellStyle name="Normal 8_EAI Workpapers" xfId="68"/>
    <cellStyle name="Normal 9" xfId="69"/>
    <cellStyle name="Normal 9 2" xfId="70"/>
    <cellStyle name="Normal 9_EAI Workpapers" xfId="71"/>
    <cellStyle name="Normal_2003OATT3PERCENT" xfId="72"/>
    <cellStyle name="Normal_Account 456.1" xfId="73"/>
    <cellStyle name="Normal_MSS2LOAD" xfId="74"/>
    <cellStyle name="Normal_PLANT_1999" xfId="75"/>
    <cellStyle name="nPlosion" xfId="76"/>
    <cellStyle name="p" xfId="208"/>
    <cellStyle name="p1" xfId="209"/>
    <cellStyle name="p2" xfId="210"/>
    <cellStyle name="p3" xfId="211"/>
    <cellStyle name="Percen - Style1" xfId="77"/>
    <cellStyle name="Percent %" xfId="212"/>
    <cellStyle name="Percent % Long Underline" xfId="213"/>
    <cellStyle name="Percent (0)" xfId="78"/>
    <cellStyle name="Percent [2]" xfId="79"/>
    <cellStyle name="Percent 0.0%" xfId="214"/>
    <cellStyle name="Percent 0.0% Long Underline" xfId="215"/>
    <cellStyle name="Percent 0.00%" xfId="216"/>
    <cellStyle name="Percent 0.00% Long Underline" xfId="217"/>
    <cellStyle name="Percent 0.000%" xfId="218"/>
    <cellStyle name="Percent 0.000% Long Underline" xfId="219"/>
    <cellStyle name="Percent 0.0000%" xfId="220"/>
    <cellStyle name="Percent 0.0000% Long Underline" xfId="221"/>
    <cellStyle name="Percent 2" xfId="80"/>
    <cellStyle name="Percent 2 2" xfId="222"/>
    <cellStyle name="Percent 3" xfId="81"/>
    <cellStyle name="Percent 3 2" xfId="223"/>
    <cellStyle name="Percent 4" xfId="82"/>
    <cellStyle name="Percent 5" xfId="98"/>
    <cellStyle name="Percent0" xfId="224"/>
    <cellStyle name="Percent1" xfId="225"/>
    <cellStyle name="Percent2" xfId="226"/>
    <cellStyle name="PSChar" xfId="83"/>
    <cellStyle name="PSChar 2" xfId="84"/>
    <cellStyle name="PSDate" xfId="85"/>
    <cellStyle name="PSDec" xfId="86"/>
    <cellStyle name="PSDec 2" xfId="87"/>
    <cellStyle name="PSdesc" xfId="227"/>
    <cellStyle name="PSHeading" xfId="88"/>
    <cellStyle name="PSInt" xfId="89"/>
    <cellStyle name="PSSpacer" xfId="90"/>
    <cellStyle name="PStest" xfId="228"/>
    <cellStyle name="R00A" xfId="229"/>
    <cellStyle name="R00B" xfId="230"/>
    <cellStyle name="R00L" xfId="231"/>
    <cellStyle name="R01A" xfId="232"/>
    <cellStyle name="R01B" xfId="233"/>
    <cellStyle name="R01H" xfId="234"/>
    <cellStyle name="R01L" xfId="235"/>
    <cellStyle name="R02A" xfId="236"/>
    <cellStyle name="R02B" xfId="237"/>
    <cellStyle name="R02H" xfId="238"/>
    <cellStyle name="R02L" xfId="239"/>
    <cellStyle name="R03A" xfId="240"/>
    <cellStyle name="R03B" xfId="241"/>
    <cellStyle name="R03H" xfId="242"/>
    <cellStyle name="R03L" xfId="243"/>
    <cellStyle name="R04A" xfId="244"/>
    <cellStyle name="R04B" xfId="245"/>
    <cellStyle name="R04H" xfId="246"/>
    <cellStyle name="R04L" xfId="247"/>
    <cellStyle name="R05A" xfId="248"/>
    <cellStyle name="R05B" xfId="249"/>
    <cellStyle name="R05H" xfId="250"/>
    <cellStyle name="R05L" xfId="251"/>
    <cellStyle name="R06A" xfId="252"/>
    <cellStyle name="R06B" xfId="253"/>
    <cellStyle name="R06H" xfId="254"/>
    <cellStyle name="R06L" xfId="255"/>
    <cellStyle name="R07A" xfId="256"/>
    <cellStyle name="R07B" xfId="257"/>
    <cellStyle name="R07H" xfId="258"/>
    <cellStyle name="R07L" xfId="259"/>
    <cellStyle name="rborder" xfId="260"/>
    <cellStyle name="red" xfId="261"/>
    <cellStyle name="RowLevel_" xfId="91"/>
    <cellStyle name="s_HardInc " xfId="262"/>
    <cellStyle name="TableHeading" xfId="263"/>
    <cellStyle name="tb" xfId="264"/>
    <cellStyle name="Tickmark" xfId="92"/>
    <cellStyle name="Times New Roman" xfId="93"/>
    <cellStyle name="top" xfId="265"/>
    <cellStyle name="w" xfId="266"/>
    <cellStyle name="XComma" xfId="267"/>
    <cellStyle name="XComma 0.0" xfId="268"/>
    <cellStyle name="XComma 0.00" xfId="269"/>
    <cellStyle name="XComma 0.000" xfId="270"/>
    <cellStyle name="XCurrency" xfId="271"/>
    <cellStyle name="XCurrency 0.0" xfId="272"/>
    <cellStyle name="XCurrency 0.00" xfId="273"/>
    <cellStyle name="XCurrency 0.000" xfId="274"/>
    <cellStyle name="yra" xfId="275"/>
    <cellStyle name="yrActual" xfId="276"/>
    <cellStyle name="yre" xfId="277"/>
    <cellStyle name="yrExpect" xfId="2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15876</xdr:colOff>
      <xdr:row>40</xdr:row>
      <xdr:rowOff>111125</xdr:rowOff>
    </xdr:from>
    <xdr:to>
      <xdr:col>0</xdr:col>
      <xdr:colOff>508000</xdr:colOff>
      <xdr:row>44</xdr:row>
      <xdr:rowOff>63500</xdr:rowOff>
    </xdr:to>
    <xdr:sp macro="" textlink="">
      <xdr:nvSpPr>
        <xdr:cNvPr id="2" name="Rectangle 1"/>
        <xdr:cNvSpPr/>
      </xdr:nvSpPr>
      <xdr:spPr>
        <a:xfrm>
          <a:off x="15876" y="7905750"/>
          <a:ext cx="492124" cy="714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l"/>
          <a:r>
            <a:rPr lang="en-US" sz="1100">
              <a:solidFill>
                <a:sysClr val="windowText" lastClr="000000"/>
              </a:solidFill>
              <a:latin typeface="Arial" panose="020B0604020202020204" pitchFamily="34" charset="0"/>
              <a:cs typeface="Arial" panose="020B0604020202020204" pitchFamily="34" charset="0"/>
            </a:rPr>
            <a:t>WP 8a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workbookViewId="0"/>
  </sheetViews>
  <sheetFormatPr defaultRowHeight="14.4"/>
  <cols>
    <col min="1" max="1" width="65.6640625" bestFit="1" customWidth="1"/>
  </cols>
  <sheetData>
    <row r="1" spans="1:1" s="98" customFormat="1" ht="13.2"/>
    <row r="2" spans="1:1" s="98" customFormat="1" ht="13.2"/>
    <row r="3" spans="1:1" s="98" customFormat="1" ht="13.2">
      <c r="A3" s="445" t="str">
        <f>+'WP 1'!D4</f>
        <v>Entergy Mississippi, Inc. (EMI)</v>
      </c>
    </row>
    <row r="4" spans="1:1" s="98" customFormat="1" ht="13.2">
      <c r="A4" s="445" t="s">
        <v>732</v>
      </c>
    </row>
    <row r="5" spans="1:1" s="98" customFormat="1" ht="13.2">
      <c r="A5" s="444"/>
    </row>
    <row r="7" spans="1:1">
      <c r="A7" s="495" t="s">
        <v>733</v>
      </c>
    </row>
    <row r="8" spans="1:1">
      <c r="A8" s="495" t="s">
        <v>734</v>
      </c>
    </row>
    <row r="9" spans="1:1">
      <c r="A9" s="495" t="s">
        <v>735</v>
      </c>
    </row>
    <row r="10" spans="1:1">
      <c r="A10" s="495" t="s">
        <v>736</v>
      </c>
    </row>
    <row r="11" spans="1:1">
      <c r="A11" s="495" t="s">
        <v>737</v>
      </c>
    </row>
    <row r="12" spans="1:1">
      <c r="A12" s="495" t="s">
        <v>738</v>
      </c>
    </row>
    <row r="13" spans="1:1">
      <c r="A13" s="495" t="s">
        <v>739</v>
      </c>
    </row>
    <row r="14" spans="1:1">
      <c r="A14" s="495" t="s">
        <v>740</v>
      </c>
    </row>
    <row r="15" spans="1:1">
      <c r="A15" s="495" t="s">
        <v>741</v>
      </c>
    </row>
    <row r="16" spans="1:1">
      <c r="A16" s="496" t="s">
        <v>742</v>
      </c>
    </row>
    <row r="17" spans="1:1">
      <c r="A17" s="496" t="s">
        <v>743</v>
      </c>
    </row>
    <row r="18" spans="1:1">
      <c r="A18" s="495" t="s">
        <v>744</v>
      </c>
    </row>
    <row r="19" spans="1:1">
      <c r="A19" s="495" t="s">
        <v>745</v>
      </c>
    </row>
    <row r="20" spans="1:1">
      <c r="A20" s="495" t="s">
        <v>746</v>
      </c>
    </row>
    <row r="21" spans="1:1">
      <c r="A21" s="495" t="s">
        <v>747</v>
      </c>
    </row>
    <row r="22" spans="1:1">
      <c r="A22" s="495" t="s">
        <v>748</v>
      </c>
    </row>
    <row r="23" spans="1:1">
      <c r="A23" s="495" t="s">
        <v>749</v>
      </c>
    </row>
    <row r="24" spans="1:1">
      <c r="A24" s="49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Normal="100" workbookViewId="0">
      <selection activeCell="B9" sqref="B9"/>
    </sheetView>
  </sheetViews>
  <sheetFormatPr defaultColWidth="9.109375" defaultRowHeight="13.2"/>
  <cols>
    <col min="1" max="1" width="11.88671875" style="379" customWidth="1"/>
    <col min="2" max="2" width="28.6640625" style="379" bestFit="1" customWidth="1"/>
    <col min="3" max="7" width="14" style="379" bestFit="1" customWidth="1"/>
    <col min="8" max="8" width="19.6640625" style="379" customWidth="1"/>
    <col min="9" max="16384" width="9.109375" style="379"/>
  </cols>
  <sheetData>
    <row r="1" spans="1:8">
      <c r="A1" s="466" t="s">
        <v>0</v>
      </c>
      <c r="B1" s="466"/>
      <c r="C1" s="466"/>
      <c r="D1" s="466"/>
      <c r="E1" s="466"/>
      <c r="F1" s="466"/>
      <c r="G1" s="466"/>
      <c r="H1" s="466"/>
    </row>
    <row r="2" spans="1:8">
      <c r="A2" s="467" t="s">
        <v>669</v>
      </c>
      <c r="B2" s="467"/>
      <c r="C2" s="467"/>
      <c r="D2" s="467"/>
      <c r="E2" s="467"/>
      <c r="F2" s="467"/>
      <c r="G2" s="467"/>
      <c r="H2" s="467"/>
    </row>
    <row r="3" spans="1:8">
      <c r="A3" s="467" t="s">
        <v>670</v>
      </c>
      <c r="B3" s="467"/>
      <c r="C3" s="467"/>
      <c r="D3" s="467"/>
      <c r="E3" s="467"/>
      <c r="F3" s="467"/>
      <c r="G3" s="467"/>
      <c r="H3" s="467"/>
    </row>
    <row r="4" spans="1:8">
      <c r="A4" s="371"/>
      <c r="B4" s="371"/>
      <c r="C4" s="371"/>
      <c r="D4" s="371"/>
    </row>
    <row r="6" spans="1:8">
      <c r="A6" s="380" t="s">
        <v>33</v>
      </c>
      <c r="B6" s="381">
        <v>-13109275.84</v>
      </c>
    </row>
    <row r="7" spans="1:8">
      <c r="A7" s="380" t="s">
        <v>35</v>
      </c>
      <c r="B7" s="381">
        <v>-4591161.24</v>
      </c>
    </row>
    <row r="8" spans="1:8">
      <c r="A8" s="380" t="s">
        <v>34</v>
      </c>
      <c r="B8" s="381">
        <v>-3027964.12</v>
      </c>
    </row>
    <row r="9" spans="1:8">
      <c r="A9" s="382" t="s">
        <v>25</v>
      </c>
      <c r="B9" s="207">
        <v>-2613313.2799999998</v>
      </c>
    </row>
    <row r="10" spans="1:8">
      <c r="A10" s="380" t="s">
        <v>36</v>
      </c>
      <c r="B10" s="381">
        <v>-782387.48</v>
      </c>
    </row>
    <row r="11" spans="1:8">
      <c r="A11" s="383" t="s">
        <v>37</v>
      </c>
      <c r="B11" s="384">
        <v>-2261911.92</v>
      </c>
    </row>
    <row r="12" spans="1:8">
      <c r="A12" s="380" t="s">
        <v>45</v>
      </c>
      <c r="B12" s="381">
        <f>SUM(B6:B11)</f>
        <v>-26386013.880000003</v>
      </c>
    </row>
    <row r="14" spans="1:8" ht="13.8" thickBot="1"/>
    <row r="15" spans="1:8">
      <c r="A15" s="372"/>
      <c r="B15" s="385"/>
      <c r="C15" s="385"/>
      <c r="D15" s="385"/>
      <c r="E15" s="385"/>
      <c r="F15" s="385"/>
      <c r="G15" s="385"/>
      <c r="H15" s="386"/>
    </row>
    <row r="16" spans="1:8" ht="26.4">
      <c r="A16" s="373" t="s">
        <v>60</v>
      </c>
      <c r="B16" s="374" t="s">
        <v>697</v>
      </c>
      <c r="C16" s="375">
        <v>41670</v>
      </c>
      <c r="D16" s="375">
        <v>41698</v>
      </c>
      <c r="E16" s="375">
        <v>41729</v>
      </c>
      <c r="F16" s="376" t="s">
        <v>45</v>
      </c>
      <c r="G16" s="376" t="s">
        <v>674</v>
      </c>
      <c r="H16" s="377" t="s">
        <v>675</v>
      </c>
    </row>
    <row r="17" spans="1:8">
      <c r="A17" s="387" t="s">
        <v>676</v>
      </c>
      <c r="B17" s="388" t="s">
        <v>677</v>
      </c>
      <c r="C17" s="389">
        <v>-7514.61</v>
      </c>
      <c r="D17" s="389">
        <v>-3420.07</v>
      </c>
      <c r="E17" s="389">
        <v>-1219.04</v>
      </c>
      <c r="F17" s="389">
        <f>SUM(C17:E17)</f>
        <v>-12153.720000000001</v>
      </c>
      <c r="G17" s="389">
        <f>F17/3</f>
        <v>-4051.2400000000002</v>
      </c>
      <c r="H17" s="390">
        <f>G17*12</f>
        <v>-48614.880000000005</v>
      </c>
    </row>
    <row r="18" spans="1:8">
      <c r="A18" s="387" t="s">
        <v>678</v>
      </c>
      <c r="B18" s="388" t="s">
        <v>679</v>
      </c>
      <c r="C18" s="389">
        <f>-711249.56+510201.29</f>
        <v>-201048.27000000008</v>
      </c>
      <c r="D18" s="389">
        <f>565343.39-510201.29-227326.78</f>
        <v>-172184.67999999996</v>
      </c>
      <c r="E18" s="389">
        <v>-191806.32</v>
      </c>
      <c r="F18" s="389">
        <f t="shared" ref="F18:F19" si="0">SUM(C18:E18)</f>
        <v>-565039.27</v>
      </c>
      <c r="G18" s="389">
        <f t="shared" ref="G18:G19" si="1">F18/3</f>
        <v>-188346.42333333334</v>
      </c>
      <c r="H18" s="390">
        <f t="shared" ref="H18:H19" si="2">G18*12</f>
        <v>-2260157.08</v>
      </c>
    </row>
    <row r="19" spans="1:8">
      <c r="A19" s="391" t="s">
        <v>680</v>
      </c>
      <c r="B19" s="388" t="s">
        <v>681</v>
      </c>
      <c r="C19" s="384">
        <f>-30244.11+3395.79</f>
        <v>-26848.32</v>
      </c>
      <c r="D19" s="384">
        <f>-11439.55-3395.79-8613.98</f>
        <v>-23449.32</v>
      </c>
      <c r="E19" s="384">
        <v>-25837.69</v>
      </c>
      <c r="F19" s="384">
        <f t="shared" si="0"/>
        <v>-76135.33</v>
      </c>
      <c r="G19" s="384">
        <f t="shared" si="1"/>
        <v>-25378.443333333333</v>
      </c>
      <c r="H19" s="392">
        <f t="shared" si="2"/>
        <v>-304541.32</v>
      </c>
    </row>
    <row r="20" spans="1:8" ht="13.8" thickBot="1">
      <c r="A20" s="393" t="s">
        <v>45</v>
      </c>
      <c r="B20" s="394"/>
      <c r="C20" s="395">
        <f t="shared" ref="C20:G20" si="3">SUM(C17:C19)</f>
        <v>-235411.20000000007</v>
      </c>
      <c r="D20" s="395">
        <f t="shared" si="3"/>
        <v>-199054.06999999998</v>
      </c>
      <c r="E20" s="395">
        <f t="shared" si="3"/>
        <v>-218863.05000000002</v>
      </c>
      <c r="F20" s="395">
        <f t="shared" si="3"/>
        <v>-653328.31999999995</v>
      </c>
      <c r="G20" s="395">
        <f t="shared" si="3"/>
        <v>-217776.10666666666</v>
      </c>
      <c r="H20" s="378">
        <f>SUM(H17:H19)</f>
        <v>-2613313.2799999998</v>
      </c>
    </row>
    <row r="21" spans="1:8">
      <c r="H21" s="396"/>
    </row>
    <row r="22" spans="1:8">
      <c r="G22" s="396"/>
    </row>
  </sheetData>
  <mergeCells count="3">
    <mergeCell ref="A1:H1"/>
    <mergeCell ref="A2:H2"/>
    <mergeCell ref="A3:H3"/>
  </mergeCells>
  <pageMargins left="0.7" right="0.7" top="0.75" bottom="0.55000000000000004" header="0.3" footer="0.3"/>
  <pageSetup scale="9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4"/>
  <sheetViews>
    <sheetView workbookViewId="0">
      <selection activeCell="D18" sqref="D18"/>
    </sheetView>
  </sheetViews>
  <sheetFormatPr defaultColWidth="9.109375" defaultRowHeight="13.2"/>
  <cols>
    <col min="1" max="1" width="15.109375" style="360" customWidth="1"/>
    <col min="2" max="2" width="14.109375" style="235" customWidth="1"/>
    <col min="3" max="3" width="19.109375" style="235" customWidth="1"/>
    <col min="4" max="4" width="18" style="235" bestFit="1" customWidth="1"/>
    <col min="5" max="5" width="16.109375" style="235" bestFit="1" customWidth="1"/>
    <col min="6" max="6" width="10.109375" style="235" bestFit="1" customWidth="1"/>
    <col min="7" max="16384" width="9.109375" style="235"/>
  </cols>
  <sheetData>
    <row r="1" spans="1:8">
      <c r="A1" s="447" t="s">
        <v>47</v>
      </c>
      <c r="B1" s="447"/>
      <c r="C1" s="447"/>
      <c r="D1" s="447"/>
      <c r="E1" s="447"/>
    </row>
    <row r="2" spans="1:8">
      <c r="A2" s="468" t="s">
        <v>662</v>
      </c>
      <c r="B2" s="469"/>
      <c r="C2" s="469"/>
      <c r="D2" s="469"/>
      <c r="E2" s="469"/>
      <c r="F2" s="236"/>
      <c r="G2" s="236"/>
      <c r="H2" s="236"/>
    </row>
    <row r="3" spans="1:8">
      <c r="A3" s="469" t="s">
        <v>88</v>
      </c>
      <c r="B3" s="469"/>
      <c r="C3" s="469"/>
      <c r="D3" s="469"/>
      <c r="E3" s="469"/>
      <c r="F3" s="236"/>
      <c r="G3" s="236"/>
      <c r="H3" s="236"/>
    </row>
    <row r="4" spans="1:8">
      <c r="A4" s="357"/>
      <c r="B4" s="237"/>
      <c r="C4" s="237"/>
      <c r="D4" s="237"/>
      <c r="E4" s="237"/>
      <c r="F4" s="238"/>
      <c r="G4" s="238"/>
      <c r="H4" s="238"/>
    </row>
    <row r="5" spans="1:8">
      <c r="A5" s="357"/>
      <c r="B5" s="237"/>
      <c r="C5" s="237"/>
      <c r="D5" s="237"/>
      <c r="E5" s="237"/>
      <c r="F5" s="238"/>
      <c r="G5" s="238"/>
      <c r="H5" s="238"/>
    </row>
    <row r="6" spans="1:8" ht="19.5" customHeight="1">
      <c r="A6" s="358"/>
      <c r="B6" s="242" t="s">
        <v>163</v>
      </c>
      <c r="C6" s="242" t="s">
        <v>617</v>
      </c>
      <c r="D6" s="242" t="s">
        <v>164</v>
      </c>
      <c r="E6" s="243" t="s">
        <v>165</v>
      </c>
      <c r="F6" s="238"/>
      <c r="G6" s="238"/>
      <c r="H6" s="238"/>
    </row>
    <row r="7" spans="1:8">
      <c r="A7" s="357" t="s">
        <v>33</v>
      </c>
      <c r="B7" s="239">
        <v>463118.13999999996</v>
      </c>
      <c r="C7" s="239">
        <v>497876.75</v>
      </c>
      <c r="D7" s="239">
        <v>11233.41</v>
      </c>
      <c r="E7" s="239">
        <f>SUM(B7:D7)</f>
        <v>972228.29999999993</v>
      </c>
      <c r="F7" s="238"/>
      <c r="G7" s="238"/>
      <c r="H7" s="238"/>
    </row>
    <row r="8" spans="1:8">
      <c r="A8" s="357" t="s">
        <v>34</v>
      </c>
      <c r="B8" s="239">
        <v>609798.84000000008</v>
      </c>
      <c r="C8" s="239">
        <v>654157.89999999991</v>
      </c>
      <c r="D8" s="239">
        <v>14454.44</v>
      </c>
      <c r="E8" s="239">
        <f t="shared" ref="E8:E12" si="0">SUM(B8:D8)</f>
        <v>1278411.18</v>
      </c>
      <c r="F8" s="238"/>
      <c r="G8" s="238"/>
      <c r="H8" s="238"/>
    </row>
    <row r="9" spans="1:8">
      <c r="A9" s="357" t="s">
        <v>35</v>
      </c>
      <c r="B9" s="239">
        <v>310732.20000000007</v>
      </c>
      <c r="C9" s="239">
        <v>333511.44</v>
      </c>
      <c r="D9" s="239">
        <v>7444.27</v>
      </c>
      <c r="E9" s="239">
        <f t="shared" si="0"/>
        <v>651687.91000000015</v>
      </c>
      <c r="F9" s="238"/>
      <c r="G9" s="238"/>
      <c r="H9" s="238"/>
    </row>
    <row r="10" spans="1:8">
      <c r="A10" s="357" t="s">
        <v>25</v>
      </c>
      <c r="B10" s="239">
        <v>102166.42000000001</v>
      </c>
      <c r="C10" s="239">
        <v>109694.25000000001</v>
      </c>
      <c r="D10" s="239">
        <v>2433.19</v>
      </c>
      <c r="E10" s="240">
        <f t="shared" si="0"/>
        <v>214293.86000000004</v>
      </c>
      <c r="F10" s="238"/>
      <c r="G10" s="238"/>
      <c r="H10" s="238"/>
    </row>
    <row r="11" spans="1:8">
      <c r="A11" s="357" t="s">
        <v>36</v>
      </c>
      <c r="B11" s="239">
        <v>395165.20999999996</v>
      </c>
      <c r="C11" s="239">
        <v>423610.98</v>
      </c>
      <c r="D11" s="239">
        <v>9330.8100000000013</v>
      </c>
      <c r="E11" s="239">
        <f t="shared" si="0"/>
        <v>828107</v>
      </c>
      <c r="F11" s="238"/>
      <c r="G11" s="238"/>
      <c r="H11" s="238"/>
    </row>
    <row r="12" spans="1:8">
      <c r="A12" s="357" t="s">
        <v>37</v>
      </c>
      <c r="B12" s="241">
        <v>366744.98</v>
      </c>
      <c r="C12" s="241">
        <v>393453.01</v>
      </c>
      <c r="D12" s="241">
        <v>8698.4</v>
      </c>
      <c r="E12" s="239">
        <f t="shared" si="0"/>
        <v>768896.39</v>
      </c>
      <c r="F12" s="238"/>
      <c r="G12" s="238"/>
      <c r="H12" s="238"/>
    </row>
    <row r="13" spans="1:8" ht="13.8" thickBot="1">
      <c r="A13" s="359" t="s">
        <v>166</v>
      </c>
      <c r="B13" s="244">
        <f>SUM(B7:B12)</f>
        <v>2247725.79</v>
      </c>
      <c r="C13" s="244">
        <f t="shared" ref="C13:E13" si="1">SUM(C7:C12)</f>
        <v>2412304.33</v>
      </c>
      <c r="D13" s="244">
        <f t="shared" si="1"/>
        <v>53594.52</v>
      </c>
      <c r="E13" s="244">
        <f t="shared" si="1"/>
        <v>4713624.6399999997</v>
      </c>
      <c r="F13" s="238"/>
      <c r="G13" s="238"/>
      <c r="H13" s="238"/>
    </row>
    <row r="14" spans="1:8" ht="13.8" thickTop="1"/>
  </sheetData>
  <mergeCells count="3">
    <mergeCell ref="A2:E2"/>
    <mergeCell ref="A3:E3"/>
    <mergeCell ref="A1:E1"/>
  </mergeCells>
  <phoneticPr fontId="36" type="noConversion"/>
  <pageMargins left="0.7" right="0.7" top="0.75" bottom="0.75" header="0.3" footer="0.3"/>
  <pageSetup orientation="portrait"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32"/>
  <sheetViews>
    <sheetView zoomScaleNormal="100" workbookViewId="0"/>
  </sheetViews>
  <sheetFormatPr defaultRowHeight="13.2"/>
  <cols>
    <col min="1" max="1" width="9.109375" style="302"/>
    <col min="2" max="2" width="7.6640625" style="302" bestFit="1" customWidth="1"/>
    <col min="3" max="4" width="5.5546875" style="302" bestFit="1" customWidth="1"/>
    <col min="5" max="5" width="12.6640625" style="302" bestFit="1" customWidth="1"/>
    <col min="6" max="6" width="11.109375" style="302" bestFit="1" customWidth="1"/>
    <col min="7" max="12" width="9.109375" style="302"/>
    <col min="13" max="13" width="13.6640625" style="302" customWidth="1"/>
    <col min="14" max="14" width="10.6640625" style="302" customWidth="1"/>
    <col min="15" max="16" width="10.6640625" style="399" customWidth="1"/>
    <col min="17" max="17" width="11.44140625" style="399" bestFit="1" customWidth="1"/>
    <col min="18" max="18" width="10.109375" style="301" bestFit="1" customWidth="1"/>
    <col min="19" max="21" width="9.109375" style="301"/>
    <col min="22" max="258" width="9.109375" style="302"/>
    <col min="259" max="259" width="5.5546875" style="302" bestFit="1" customWidth="1"/>
    <col min="260" max="261" width="3.5546875" style="302" bestFit="1" customWidth="1"/>
    <col min="262" max="262" width="5.5546875" style="302" bestFit="1" customWidth="1"/>
    <col min="263" max="263" width="10.109375" style="302" bestFit="1" customWidth="1"/>
    <col min="264" max="269" width="9.109375" style="302"/>
    <col min="270" max="270" width="10.109375" style="302" bestFit="1" customWidth="1"/>
    <col min="271" max="272" width="10.109375" style="302" customWidth="1"/>
    <col min="273" max="274" width="10.109375" style="302" bestFit="1" customWidth="1"/>
    <col min="275" max="514" width="9.109375" style="302"/>
    <col min="515" max="515" width="5.5546875" style="302" bestFit="1" customWidth="1"/>
    <col min="516" max="517" width="3.5546875" style="302" bestFit="1" customWidth="1"/>
    <col min="518" max="518" width="5.5546875" style="302" bestFit="1" customWidth="1"/>
    <col min="519" max="519" width="10.109375" style="302" bestFit="1" customWidth="1"/>
    <col min="520" max="525" width="9.109375" style="302"/>
    <col min="526" max="526" width="10.109375" style="302" bestFit="1" customWidth="1"/>
    <col min="527" max="528" width="10.109375" style="302" customWidth="1"/>
    <col min="529" max="530" width="10.109375" style="302" bestFit="1" customWidth="1"/>
    <col min="531" max="770" width="9.109375" style="302"/>
    <col min="771" max="771" width="5.5546875" style="302" bestFit="1" customWidth="1"/>
    <col min="772" max="773" width="3.5546875" style="302" bestFit="1" customWidth="1"/>
    <col min="774" max="774" width="5.5546875" style="302" bestFit="1" customWidth="1"/>
    <col min="775" max="775" width="10.109375" style="302" bestFit="1" customWidth="1"/>
    <col min="776" max="781" width="9.109375" style="302"/>
    <col min="782" max="782" width="10.109375" style="302" bestFit="1" customWidth="1"/>
    <col min="783" max="784" width="10.109375" style="302" customWidth="1"/>
    <col min="785" max="786" width="10.109375" style="302" bestFit="1" customWidth="1"/>
    <col min="787" max="1026" width="9.109375" style="302"/>
    <col min="1027" max="1027" width="5.5546875" style="302" bestFit="1" customWidth="1"/>
    <col min="1028" max="1029" width="3.5546875" style="302" bestFit="1" customWidth="1"/>
    <col min="1030" max="1030" width="5.5546875" style="302" bestFit="1" customWidth="1"/>
    <col min="1031" max="1031" width="10.109375" style="302" bestFit="1" customWidth="1"/>
    <col min="1032" max="1037" width="9.109375" style="302"/>
    <col min="1038" max="1038" width="10.109375" style="302" bestFit="1" customWidth="1"/>
    <col min="1039" max="1040" width="10.109375" style="302" customWidth="1"/>
    <col min="1041" max="1042" width="10.109375" style="302" bestFit="1" customWidth="1"/>
    <col min="1043" max="1282" width="9.109375" style="302"/>
    <col min="1283" max="1283" width="5.5546875" style="302" bestFit="1" customWidth="1"/>
    <col min="1284" max="1285" width="3.5546875" style="302" bestFit="1" customWidth="1"/>
    <col min="1286" max="1286" width="5.5546875" style="302" bestFit="1" customWidth="1"/>
    <col min="1287" max="1287" width="10.109375" style="302" bestFit="1" customWidth="1"/>
    <col min="1288" max="1293" width="9.109375" style="302"/>
    <col min="1294" max="1294" width="10.109375" style="302" bestFit="1" customWidth="1"/>
    <col min="1295" max="1296" width="10.109375" style="302" customWidth="1"/>
    <col min="1297" max="1298" width="10.109375" style="302" bestFit="1" customWidth="1"/>
    <col min="1299" max="1538" width="9.109375" style="302"/>
    <col min="1539" max="1539" width="5.5546875" style="302" bestFit="1" customWidth="1"/>
    <col min="1540" max="1541" width="3.5546875" style="302" bestFit="1" customWidth="1"/>
    <col min="1542" max="1542" width="5.5546875" style="302" bestFit="1" customWidth="1"/>
    <col min="1543" max="1543" width="10.109375" style="302" bestFit="1" customWidth="1"/>
    <col min="1544" max="1549" width="9.109375" style="302"/>
    <col min="1550" max="1550" width="10.109375" style="302" bestFit="1" customWidth="1"/>
    <col min="1551" max="1552" width="10.109375" style="302" customWidth="1"/>
    <col min="1553" max="1554" width="10.109375" style="302" bestFit="1" customWidth="1"/>
    <col min="1555" max="1794" width="9.109375" style="302"/>
    <col min="1795" max="1795" width="5.5546875" style="302" bestFit="1" customWidth="1"/>
    <col min="1796" max="1797" width="3.5546875" style="302" bestFit="1" customWidth="1"/>
    <col min="1798" max="1798" width="5.5546875" style="302" bestFit="1" customWidth="1"/>
    <col min="1799" max="1799" width="10.109375" style="302" bestFit="1" customWidth="1"/>
    <col min="1800" max="1805" width="9.109375" style="302"/>
    <col min="1806" max="1806" width="10.109375" style="302" bestFit="1" customWidth="1"/>
    <col min="1807" max="1808" width="10.109375" style="302" customWidth="1"/>
    <col min="1809" max="1810" width="10.109375" style="302" bestFit="1" customWidth="1"/>
    <col min="1811" max="2050" width="9.109375" style="302"/>
    <col min="2051" max="2051" width="5.5546875" style="302" bestFit="1" customWidth="1"/>
    <col min="2052" max="2053" width="3.5546875" style="302" bestFit="1" customWidth="1"/>
    <col min="2054" max="2054" width="5.5546875" style="302" bestFit="1" customWidth="1"/>
    <col min="2055" max="2055" width="10.109375" style="302" bestFit="1" customWidth="1"/>
    <col min="2056" max="2061" width="9.109375" style="302"/>
    <col min="2062" max="2062" width="10.109375" style="302" bestFit="1" customWidth="1"/>
    <col min="2063" max="2064" width="10.109375" style="302" customWidth="1"/>
    <col min="2065" max="2066" width="10.109375" style="302" bestFit="1" customWidth="1"/>
    <col min="2067" max="2306" width="9.109375" style="302"/>
    <col min="2307" max="2307" width="5.5546875" style="302" bestFit="1" customWidth="1"/>
    <col min="2308" max="2309" width="3.5546875" style="302" bestFit="1" customWidth="1"/>
    <col min="2310" max="2310" width="5.5546875" style="302" bestFit="1" customWidth="1"/>
    <col min="2311" max="2311" width="10.109375" style="302" bestFit="1" customWidth="1"/>
    <col min="2312" max="2317" width="9.109375" style="302"/>
    <col min="2318" max="2318" width="10.109375" style="302" bestFit="1" customWidth="1"/>
    <col min="2319" max="2320" width="10.109375" style="302" customWidth="1"/>
    <col min="2321" max="2322" width="10.109375" style="302" bestFit="1" customWidth="1"/>
    <col min="2323" max="2562" width="9.109375" style="302"/>
    <col min="2563" max="2563" width="5.5546875" style="302" bestFit="1" customWidth="1"/>
    <col min="2564" max="2565" width="3.5546875" style="302" bestFit="1" customWidth="1"/>
    <col min="2566" max="2566" width="5.5546875" style="302" bestFit="1" customWidth="1"/>
    <col min="2567" max="2567" width="10.109375" style="302" bestFit="1" customWidth="1"/>
    <col min="2568" max="2573" width="9.109375" style="302"/>
    <col min="2574" max="2574" width="10.109375" style="302" bestFit="1" customWidth="1"/>
    <col min="2575" max="2576" width="10.109375" style="302" customWidth="1"/>
    <col min="2577" max="2578" width="10.109375" style="302" bestFit="1" customWidth="1"/>
    <col min="2579" max="2818" width="9.109375" style="302"/>
    <col min="2819" max="2819" width="5.5546875" style="302" bestFit="1" customWidth="1"/>
    <col min="2820" max="2821" width="3.5546875" style="302" bestFit="1" customWidth="1"/>
    <col min="2822" max="2822" width="5.5546875" style="302" bestFit="1" customWidth="1"/>
    <col min="2823" max="2823" width="10.109375" style="302" bestFit="1" customWidth="1"/>
    <col min="2824" max="2829" width="9.109375" style="302"/>
    <col min="2830" max="2830" width="10.109375" style="302" bestFit="1" customWidth="1"/>
    <col min="2831" max="2832" width="10.109375" style="302" customWidth="1"/>
    <col min="2833" max="2834" width="10.109375" style="302" bestFit="1" customWidth="1"/>
    <col min="2835" max="3074" width="9.109375" style="302"/>
    <col min="3075" max="3075" width="5.5546875" style="302" bestFit="1" customWidth="1"/>
    <col min="3076" max="3077" width="3.5546875" style="302" bestFit="1" customWidth="1"/>
    <col min="3078" max="3078" width="5.5546875" style="302" bestFit="1" customWidth="1"/>
    <col min="3079" max="3079" width="10.109375" style="302" bestFit="1" customWidth="1"/>
    <col min="3080" max="3085" width="9.109375" style="302"/>
    <col min="3086" max="3086" width="10.109375" style="302" bestFit="1" customWidth="1"/>
    <col min="3087" max="3088" width="10.109375" style="302" customWidth="1"/>
    <col min="3089" max="3090" width="10.109375" style="302" bestFit="1" customWidth="1"/>
    <col min="3091" max="3330" width="9.109375" style="302"/>
    <col min="3331" max="3331" width="5.5546875" style="302" bestFit="1" customWidth="1"/>
    <col min="3332" max="3333" width="3.5546875" style="302" bestFit="1" customWidth="1"/>
    <col min="3334" max="3334" width="5.5546875" style="302" bestFit="1" customWidth="1"/>
    <col min="3335" max="3335" width="10.109375" style="302" bestFit="1" customWidth="1"/>
    <col min="3336" max="3341" width="9.109375" style="302"/>
    <col min="3342" max="3342" width="10.109375" style="302" bestFit="1" customWidth="1"/>
    <col min="3343" max="3344" width="10.109375" style="302" customWidth="1"/>
    <col min="3345" max="3346" width="10.109375" style="302" bestFit="1" customWidth="1"/>
    <col min="3347" max="3586" width="9.109375" style="302"/>
    <col min="3587" max="3587" width="5.5546875" style="302" bestFit="1" customWidth="1"/>
    <col min="3588" max="3589" width="3.5546875" style="302" bestFit="1" customWidth="1"/>
    <col min="3590" max="3590" width="5.5546875" style="302" bestFit="1" customWidth="1"/>
    <col min="3591" max="3591" width="10.109375" style="302" bestFit="1" customWidth="1"/>
    <col min="3592" max="3597" width="9.109375" style="302"/>
    <col min="3598" max="3598" width="10.109375" style="302" bestFit="1" customWidth="1"/>
    <col min="3599" max="3600" width="10.109375" style="302" customWidth="1"/>
    <col min="3601" max="3602" width="10.109375" style="302" bestFit="1" customWidth="1"/>
    <col min="3603" max="3842" width="9.109375" style="302"/>
    <col min="3843" max="3843" width="5.5546875" style="302" bestFit="1" customWidth="1"/>
    <col min="3844" max="3845" width="3.5546875" style="302" bestFit="1" customWidth="1"/>
    <col min="3846" max="3846" width="5.5546875" style="302" bestFit="1" customWidth="1"/>
    <col min="3847" max="3847" width="10.109375" style="302" bestFit="1" customWidth="1"/>
    <col min="3848" max="3853" width="9.109375" style="302"/>
    <col min="3854" max="3854" width="10.109375" style="302" bestFit="1" customWidth="1"/>
    <col min="3855" max="3856" width="10.109375" style="302" customWidth="1"/>
    <col min="3857" max="3858" width="10.109375" style="302" bestFit="1" customWidth="1"/>
    <col min="3859" max="4098" width="9.109375" style="302"/>
    <col min="4099" max="4099" width="5.5546875" style="302" bestFit="1" customWidth="1"/>
    <col min="4100" max="4101" width="3.5546875" style="302" bestFit="1" customWidth="1"/>
    <col min="4102" max="4102" width="5.5546875" style="302" bestFit="1" customWidth="1"/>
    <col min="4103" max="4103" width="10.109375" style="302" bestFit="1" customWidth="1"/>
    <col min="4104" max="4109" width="9.109375" style="302"/>
    <col min="4110" max="4110" width="10.109375" style="302" bestFit="1" customWidth="1"/>
    <col min="4111" max="4112" width="10.109375" style="302" customWidth="1"/>
    <col min="4113" max="4114" width="10.109375" style="302" bestFit="1" customWidth="1"/>
    <col min="4115" max="4354" width="9.109375" style="302"/>
    <col min="4355" max="4355" width="5.5546875" style="302" bestFit="1" customWidth="1"/>
    <col min="4356" max="4357" width="3.5546875" style="302" bestFit="1" customWidth="1"/>
    <col min="4358" max="4358" width="5.5546875" style="302" bestFit="1" customWidth="1"/>
    <col min="4359" max="4359" width="10.109375" style="302" bestFit="1" customWidth="1"/>
    <col min="4360" max="4365" width="9.109375" style="302"/>
    <col min="4366" max="4366" width="10.109375" style="302" bestFit="1" customWidth="1"/>
    <col min="4367" max="4368" width="10.109375" style="302" customWidth="1"/>
    <col min="4369" max="4370" width="10.109375" style="302" bestFit="1" customWidth="1"/>
    <col min="4371" max="4610" width="9.109375" style="302"/>
    <col min="4611" max="4611" width="5.5546875" style="302" bestFit="1" customWidth="1"/>
    <col min="4612" max="4613" width="3.5546875" style="302" bestFit="1" customWidth="1"/>
    <col min="4614" max="4614" width="5.5546875" style="302" bestFit="1" customWidth="1"/>
    <col min="4615" max="4615" width="10.109375" style="302" bestFit="1" customWidth="1"/>
    <col min="4616" max="4621" width="9.109375" style="302"/>
    <col min="4622" max="4622" width="10.109375" style="302" bestFit="1" customWidth="1"/>
    <col min="4623" max="4624" width="10.109375" style="302" customWidth="1"/>
    <col min="4625" max="4626" width="10.109375" style="302" bestFit="1" customWidth="1"/>
    <col min="4627" max="4866" width="9.109375" style="302"/>
    <col min="4867" max="4867" width="5.5546875" style="302" bestFit="1" customWidth="1"/>
    <col min="4868" max="4869" width="3.5546875" style="302" bestFit="1" customWidth="1"/>
    <col min="4870" max="4870" width="5.5546875" style="302" bestFit="1" customWidth="1"/>
    <col min="4871" max="4871" width="10.109375" style="302" bestFit="1" customWidth="1"/>
    <col min="4872" max="4877" width="9.109375" style="302"/>
    <col min="4878" max="4878" width="10.109375" style="302" bestFit="1" customWidth="1"/>
    <col min="4879" max="4880" width="10.109375" style="302" customWidth="1"/>
    <col min="4881" max="4882" width="10.109375" style="302" bestFit="1" customWidth="1"/>
    <col min="4883" max="5122" width="9.109375" style="302"/>
    <col min="5123" max="5123" width="5.5546875" style="302" bestFit="1" customWidth="1"/>
    <col min="5124" max="5125" width="3.5546875" style="302" bestFit="1" customWidth="1"/>
    <col min="5126" max="5126" width="5.5546875" style="302" bestFit="1" customWidth="1"/>
    <col min="5127" max="5127" width="10.109375" style="302" bestFit="1" customWidth="1"/>
    <col min="5128" max="5133" width="9.109375" style="302"/>
    <col min="5134" max="5134" width="10.109375" style="302" bestFit="1" customWidth="1"/>
    <col min="5135" max="5136" width="10.109375" style="302" customWidth="1"/>
    <col min="5137" max="5138" width="10.109375" style="302" bestFit="1" customWidth="1"/>
    <col min="5139" max="5378" width="9.109375" style="302"/>
    <col min="5379" max="5379" width="5.5546875" style="302" bestFit="1" customWidth="1"/>
    <col min="5380" max="5381" width="3.5546875" style="302" bestFit="1" customWidth="1"/>
    <col min="5382" max="5382" width="5.5546875" style="302" bestFit="1" customWidth="1"/>
    <col min="5383" max="5383" width="10.109375" style="302" bestFit="1" customWidth="1"/>
    <col min="5384" max="5389" width="9.109375" style="302"/>
    <col min="5390" max="5390" width="10.109375" style="302" bestFit="1" customWidth="1"/>
    <col min="5391" max="5392" width="10.109375" style="302" customWidth="1"/>
    <col min="5393" max="5394" width="10.109375" style="302" bestFit="1" customWidth="1"/>
    <col min="5395" max="5634" width="9.109375" style="302"/>
    <col min="5635" max="5635" width="5.5546875" style="302" bestFit="1" customWidth="1"/>
    <col min="5636" max="5637" width="3.5546875" style="302" bestFit="1" customWidth="1"/>
    <col min="5638" max="5638" width="5.5546875" style="302" bestFit="1" customWidth="1"/>
    <col min="5639" max="5639" width="10.109375" style="302" bestFit="1" customWidth="1"/>
    <col min="5640" max="5645" width="9.109375" style="302"/>
    <col min="5646" max="5646" width="10.109375" style="302" bestFit="1" customWidth="1"/>
    <col min="5647" max="5648" width="10.109375" style="302" customWidth="1"/>
    <col min="5649" max="5650" width="10.109375" style="302" bestFit="1" customWidth="1"/>
    <col min="5651" max="5890" width="9.109375" style="302"/>
    <col min="5891" max="5891" width="5.5546875" style="302" bestFit="1" customWidth="1"/>
    <col min="5892" max="5893" width="3.5546875" style="302" bestFit="1" customWidth="1"/>
    <col min="5894" max="5894" width="5.5546875" style="302" bestFit="1" customWidth="1"/>
    <col min="5895" max="5895" width="10.109375" style="302" bestFit="1" customWidth="1"/>
    <col min="5896" max="5901" width="9.109375" style="302"/>
    <col min="5902" max="5902" width="10.109375" style="302" bestFit="1" customWidth="1"/>
    <col min="5903" max="5904" width="10.109375" style="302" customWidth="1"/>
    <col min="5905" max="5906" width="10.109375" style="302" bestFit="1" customWidth="1"/>
    <col min="5907" max="6146" width="9.109375" style="302"/>
    <col min="6147" max="6147" width="5.5546875" style="302" bestFit="1" customWidth="1"/>
    <col min="6148" max="6149" width="3.5546875" style="302" bestFit="1" customWidth="1"/>
    <col min="6150" max="6150" width="5.5546875" style="302" bestFit="1" customWidth="1"/>
    <col min="6151" max="6151" width="10.109375" style="302" bestFit="1" customWidth="1"/>
    <col min="6152" max="6157" width="9.109375" style="302"/>
    <col min="6158" max="6158" width="10.109375" style="302" bestFit="1" customWidth="1"/>
    <col min="6159" max="6160" width="10.109375" style="302" customWidth="1"/>
    <col min="6161" max="6162" width="10.109375" style="302" bestFit="1" customWidth="1"/>
    <col min="6163" max="6402" width="9.109375" style="302"/>
    <col min="6403" max="6403" width="5.5546875" style="302" bestFit="1" customWidth="1"/>
    <col min="6404" max="6405" width="3.5546875" style="302" bestFit="1" customWidth="1"/>
    <col min="6406" max="6406" width="5.5546875" style="302" bestFit="1" customWidth="1"/>
    <col min="6407" max="6407" width="10.109375" style="302" bestFit="1" customWidth="1"/>
    <col min="6408" max="6413" width="9.109375" style="302"/>
    <col min="6414" max="6414" width="10.109375" style="302" bestFit="1" customWidth="1"/>
    <col min="6415" max="6416" width="10.109375" style="302" customWidth="1"/>
    <col min="6417" max="6418" width="10.109375" style="302" bestFit="1" customWidth="1"/>
    <col min="6419" max="6658" width="9.109375" style="302"/>
    <col min="6659" max="6659" width="5.5546875" style="302" bestFit="1" customWidth="1"/>
    <col min="6660" max="6661" width="3.5546875" style="302" bestFit="1" customWidth="1"/>
    <col min="6662" max="6662" width="5.5546875" style="302" bestFit="1" customWidth="1"/>
    <col min="6663" max="6663" width="10.109375" style="302" bestFit="1" customWidth="1"/>
    <col min="6664" max="6669" width="9.109375" style="302"/>
    <col min="6670" max="6670" width="10.109375" style="302" bestFit="1" customWidth="1"/>
    <col min="6671" max="6672" width="10.109375" style="302" customWidth="1"/>
    <col min="6673" max="6674" width="10.109375" style="302" bestFit="1" customWidth="1"/>
    <col min="6675" max="6914" width="9.109375" style="302"/>
    <col min="6915" max="6915" width="5.5546875" style="302" bestFit="1" customWidth="1"/>
    <col min="6916" max="6917" width="3.5546875" style="302" bestFit="1" customWidth="1"/>
    <col min="6918" max="6918" width="5.5546875" style="302" bestFit="1" customWidth="1"/>
    <col min="6919" max="6919" width="10.109375" style="302" bestFit="1" customWidth="1"/>
    <col min="6920" max="6925" width="9.109375" style="302"/>
    <col min="6926" max="6926" width="10.109375" style="302" bestFit="1" customWidth="1"/>
    <col min="6927" max="6928" width="10.109375" style="302" customWidth="1"/>
    <col min="6929" max="6930" width="10.109375" style="302" bestFit="1" customWidth="1"/>
    <col min="6931" max="7170" width="9.109375" style="302"/>
    <col min="7171" max="7171" width="5.5546875" style="302" bestFit="1" customWidth="1"/>
    <col min="7172" max="7173" width="3.5546875" style="302" bestFit="1" customWidth="1"/>
    <col min="7174" max="7174" width="5.5546875" style="302" bestFit="1" customWidth="1"/>
    <col min="7175" max="7175" width="10.109375" style="302" bestFit="1" customWidth="1"/>
    <col min="7176" max="7181" width="9.109375" style="302"/>
    <col min="7182" max="7182" width="10.109375" style="302" bestFit="1" customWidth="1"/>
    <col min="7183" max="7184" width="10.109375" style="302" customWidth="1"/>
    <col min="7185" max="7186" width="10.109375" style="302" bestFit="1" customWidth="1"/>
    <col min="7187" max="7426" width="9.109375" style="302"/>
    <col min="7427" max="7427" width="5.5546875" style="302" bestFit="1" customWidth="1"/>
    <col min="7428" max="7429" width="3.5546875" style="302" bestFit="1" customWidth="1"/>
    <col min="7430" max="7430" width="5.5546875" style="302" bestFit="1" customWidth="1"/>
    <col min="7431" max="7431" width="10.109375" style="302" bestFit="1" customWidth="1"/>
    <col min="7432" max="7437" width="9.109375" style="302"/>
    <col min="7438" max="7438" width="10.109375" style="302" bestFit="1" customWidth="1"/>
    <col min="7439" max="7440" width="10.109375" style="302" customWidth="1"/>
    <col min="7441" max="7442" width="10.109375" style="302" bestFit="1" customWidth="1"/>
    <col min="7443" max="7682" width="9.109375" style="302"/>
    <col min="7683" max="7683" width="5.5546875" style="302" bestFit="1" customWidth="1"/>
    <col min="7684" max="7685" width="3.5546875" style="302" bestFit="1" customWidth="1"/>
    <col min="7686" max="7686" width="5.5546875" style="302" bestFit="1" customWidth="1"/>
    <col min="7687" max="7687" width="10.109375" style="302" bestFit="1" customWidth="1"/>
    <col min="7688" max="7693" width="9.109375" style="302"/>
    <col min="7694" max="7694" width="10.109375" style="302" bestFit="1" customWidth="1"/>
    <col min="7695" max="7696" width="10.109375" style="302" customWidth="1"/>
    <col min="7697" max="7698" width="10.109375" style="302" bestFit="1" customWidth="1"/>
    <col min="7699" max="7938" width="9.109375" style="302"/>
    <col min="7939" max="7939" width="5.5546875" style="302" bestFit="1" customWidth="1"/>
    <col min="7940" max="7941" width="3.5546875" style="302" bestFit="1" customWidth="1"/>
    <col min="7942" max="7942" width="5.5546875" style="302" bestFit="1" customWidth="1"/>
    <col min="7943" max="7943" width="10.109375" style="302" bestFit="1" customWidth="1"/>
    <col min="7944" max="7949" width="9.109375" style="302"/>
    <col min="7950" max="7950" width="10.109375" style="302" bestFit="1" customWidth="1"/>
    <col min="7951" max="7952" width="10.109375" style="302" customWidth="1"/>
    <col min="7953" max="7954" width="10.109375" style="302" bestFit="1" customWidth="1"/>
    <col min="7955" max="8194" width="9.109375" style="302"/>
    <col min="8195" max="8195" width="5.5546875" style="302" bestFit="1" customWidth="1"/>
    <col min="8196" max="8197" width="3.5546875" style="302" bestFit="1" customWidth="1"/>
    <col min="8198" max="8198" width="5.5546875" style="302" bestFit="1" customWidth="1"/>
    <col min="8199" max="8199" width="10.109375" style="302" bestFit="1" customWidth="1"/>
    <col min="8200" max="8205" width="9.109375" style="302"/>
    <col min="8206" max="8206" width="10.109375" style="302" bestFit="1" customWidth="1"/>
    <col min="8207" max="8208" width="10.109375" style="302" customWidth="1"/>
    <col min="8209" max="8210" width="10.109375" style="302" bestFit="1" customWidth="1"/>
    <col min="8211" max="8450" width="9.109375" style="302"/>
    <col min="8451" max="8451" width="5.5546875" style="302" bestFit="1" customWidth="1"/>
    <col min="8452" max="8453" width="3.5546875" style="302" bestFit="1" customWidth="1"/>
    <col min="8454" max="8454" width="5.5546875" style="302" bestFit="1" customWidth="1"/>
    <col min="8455" max="8455" width="10.109375" style="302" bestFit="1" customWidth="1"/>
    <col min="8456" max="8461" width="9.109375" style="302"/>
    <col min="8462" max="8462" width="10.109375" style="302" bestFit="1" customWidth="1"/>
    <col min="8463" max="8464" width="10.109375" style="302" customWidth="1"/>
    <col min="8465" max="8466" width="10.109375" style="302" bestFit="1" customWidth="1"/>
    <col min="8467" max="8706" width="9.109375" style="302"/>
    <col min="8707" max="8707" width="5.5546875" style="302" bestFit="1" customWidth="1"/>
    <col min="8708" max="8709" width="3.5546875" style="302" bestFit="1" customWidth="1"/>
    <col min="8710" max="8710" width="5.5546875" style="302" bestFit="1" customWidth="1"/>
    <col min="8711" max="8711" width="10.109375" style="302" bestFit="1" customWidth="1"/>
    <col min="8712" max="8717" width="9.109375" style="302"/>
    <col min="8718" max="8718" width="10.109375" style="302" bestFit="1" customWidth="1"/>
    <col min="8719" max="8720" width="10.109375" style="302" customWidth="1"/>
    <col min="8721" max="8722" width="10.109375" style="302" bestFit="1" customWidth="1"/>
    <col min="8723" max="8962" width="9.109375" style="302"/>
    <col min="8963" max="8963" width="5.5546875" style="302" bestFit="1" customWidth="1"/>
    <col min="8964" max="8965" width="3.5546875" style="302" bestFit="1" customWidth="1"/>
    <col min="8966" max="8966" width="5.5546875" style="302" bestFit="1" customWidth="1"/>
    <col min="8967" max="8967" width="10.109375" style="302" bestFit="1" customWidth="1"/>
    <col min="8968" max="8973" width="9.109375" style="302"/>
    <col min="8974" max="8974" width="10.109375" style="302" bestFit="1" customWidth="1"/>
    <col min="8975" max="8976" width="10.109375" style="302" customWidth="1"/>
    <col min="8977" max="8978" width="10.109375" style="302" bestFit="1" customWidth="1"/>
    <col min="8979" max="9218" width="9.109375" style="302"/>
    <col min="9219" max="9219" width="5.5546875" style="302" bestFit="1" customWidth="1"/>
    <col min="9220" max="9221" width="3.5546875" style="302" bestFit="1" customWidth="1"/>
    <col min="9222" max="9222" width="5.5546875" style="302" bestFit="1" customWidth="1"/>
    <col min="9223" max="9223" width="10.109375" style="302" bestFit="1" customWidth="1"/>
    <col min="9224" max="9229" width="9.109375" style="302"/>
    <col min="9230" max="9230" width="10.109375" style="302" bestFit="1" customWidth="1"/>
    <col min="9231" max="9232" width="10.109375" style="302" customWidth="1"/>
    <col min="9233" max="9234" width="10.109375" style="302" bestFit="1" customWidth="1"/>
    <col min="9235" max="9474" width="9.109375" style="302"/>
    <col min="9475" max="9475" width="5.5546875" style="302" bestFit="1" customWidth="1"/>
    <col min="9476" max="9477" width="3.5546875" style="302" bestFit="1" customWidth="1"/>
    <col min="9478" max="9478" width="5.5546875" style="302" bestFit="1" customWidth="1"/>
    <col min="9479" max="9479" width="10.109375" style="302" bestFit="1" customWidth="1"/>
    <col min="9480" max="9485" width="9.109375" style="302"/>
    <col min="9486" max="9486" width="10.109375" style="302" bestFit="1" customWidth="1"/>
    <col min="9487" max="9488" width="10.109375" style="302" customWidth="1"/>
    <col min="9489" max="9490" width="10.109375" style="302" bestFit="1" customWidth="1"/>
    <col min="9491" max="9730" width="9.109375" style="302"/>
    <col min="9731" max="9731" width="5.5546875" style="302" bestFit="1" customWidth="1"/>
    <col min="9732" max="9733" width="3.5546875" style="302" bestFit="1" customWidth="1"/>
    <col min="9734" max="9734" width="5.5546875" style="302" bestFit="1" customWidth="1"/>
    <col min="9735" max="9735" width="10.109375" style="302" bestFit="1" customWidth="1"/>
    <col min="9736" max="9741" width="9.109375" style="302"/>
    <col min="9742" max="9742" width="10.109375" style="302" bestFit="1" customWidth="1"/>
    <col min="9743" max="9744" width="10.109375" style="302" customWidth="1"/>
    <col min="9745" max="9746" width="10.109375" style="302" bestFit="1" customWidth="1"/>
    <col min="9747" max="9986" width="9.109375" style="302"/>
    <col min="9987" max="9987" width="5.5546875" style="302" bestFit="1" customWidth="1"/>
    <col min="9988" max="9989" width="3.5546875" style="302" bestFit="1" customWidth="1"/>
    <col min="9990" max="9990" width="5.5546875" style="302" bestFit="1" customWidth="1"/>
    <col min="9991" max="9991" width="10.109375" style="302" bestFit="1" customWidth="1"/>
    <col min="9992" max="9997" width="9.109375" style="302"/>
    <col min="9998" max="9998" width="10.109375" style="302" bestFit="1" customWidth="1"/>
    <col min="9999" max="10000" width="10.109375" style="302" customWidth="1"/>
    <col min="10001" max="10002" width="10.109375" style="302" bestFit="1" customWidth="1"/>
    <col min="10003" max="10242" width="9.109375" style="302"/>
    <col min="10243" max="10243" width="5.5546875" style="302" bestFit="1" customWidth="1"/>
    <col min="10244" max="10245" width="3.5546875" style="302" bestFit="1" customWidth="1"/>
    <col min="10246" max="10246" width="5.5546875" style="302" bestFit="1" customWidth="1"/>
    <col min="10247" max="10247" width="10.109375" style="302" bestFit="1" customWidth="1"/>
    <col min="10248" max="10253" width="9.109375" style="302"/>
    <col min="10254" max="10254" width="10.109375" style="302" bestFit="1" customWidth="1"/>
    <col min="10255" max="10256" width="10.109375" style="302" customWidth="1"/>
    <col min="10257" max="10258" width="10.109375" style="302" bestFit="1" customWidth="1"/>
    <col min="10259" max="10498" width="9.109375" style="302"/>
    <col min="10499" max="10499" width="5.5546875" style="302" bestFit="1" customWidth="1"/>
    <col min="10500" max="10501" width="3.5546875" style="302" bestFit="1" customWidth="1"/>
    <col min="10502" max="10502" width="5.5546875" style="302" bestFit="1" customWidth="1"/>
    <col min="10503" max="10503" width="10.109375" style="302" bestFit="1" customWidth="1"/>
    <col min="10504" max="10509" width="9.109375" style="302"/>
    <col min="10510" max="10510" width="10.109375" style="302" bestFit="1" customWidth="1"/>
    <col min="10511" max="10512" width="10.109375" style="302" customWidth="1"/>
    <col min="10513" max="10514" width="10.109375" style="302" bestFit="1" customWidth="1"/>
    <col min="10515" max="10754" width="9.109375" style="302"/>
    <col min="10755" max="10755" width="5.5546875" style="302" bestFit="1" customWidth="1"/>
    <col min="10756" max="10757" width="3.5546875" style="302" bestFit="1" customWidth="1"/>
    <col min="10758" max="10758" width="5.5546875" style="302" bestFit="1" customWidth="1"/>
    <col min="10759" max="10759" width="10.109375" style="302" bestFit="1" customWidth="1"/>
    <col min="10760" max="10765" width="9.109375" style="302"/>
    <col min="10766" max="10766" width="10.109375" style="302" bestFit="1" customWidth="1"/>
    <col min="10767" max="10768" width="10.109375" style="302" customWidth="1"/>
    <col min="10769" max="10770" width="10.109375" style="302" bestFit="1" customWidth="1"/>
    <col min="10771" max="11010" width="9.109375" style="302"/>
    <col min="11011" max="11011" width="5.5546875" style="302" bestFit="1" customWidth="1"/>
    <col min="11012" max="11013" width="3.5546875" style="302" bestFit="1" customWidth="1"/>
    <col min="11014" max="11014" width="5.5546875" style="302" bestFit="1" customWidth="1"/>
    <col min="11015" max="11015" width="10.109375" style="302" bestFit="1" customWidth="1"/>
    <col min="11016" max="11021" width="9.109375" style="302"/>
    <col min="11022" max="11022" width="10.109375" style="302" bestFit="1" customWidth="1"/>
    <col min="11023" max="11024" width="10.109375" style="302" customWidth="1"/>
    <col min="11025" max="11026" width="10.109375" style="302" bestFit="1" customWidth="1"/>
    <col min="11027" max="11266" width="9.109375" style="302"/>
    <col min="11267" max="11267" width="5.5546875" style="302" bestFit="1" customWidth="1"/>
    <col min="11268" max="11269" width="3.5546875" style="302" bestFit="1" customWidth="1"/>
    <col min="11270" max="11270" width="5.5546875" style="302" bestFit="1" customWidth="1"/>
    <col min="11271" max="11271" width="10.109375" style="302" bestFit="1" customWidth="1"/>
    <col min="11272" max="11277" width="9.109375" style="302"/>
    <col min="11278" max="11278" width="10.109375" style="302" bestFit="1" customWidth="1"/>
    <col min="11279" max="11280" width="10.109375" style="302" customWidth="1"/>
    <col min="11281" max="11282" width="10.109375" style="302" bestFit="1" customWidth="1"/>
    <col min="11283" max="11522" width="9.109375" style="302"/>
    <col min="11523" max="11523" width="5.5546875" style="302" bestFit="1" customWidth="1"/>
    <col min="11524" max="11525" width="3.5546875" style="302" bestFit="1" customWidth="1"/>
    <col min="11526" max="11526" width="5.5546875" style="302" bestFit="1" customWidth="1"/>
    <col min="11527" max="11527" width="10.109375" style="302" bestFit="1" customWidth="1"/>
    <col min="11528" max="11533" width="9.109375" style="302"/>
    <col min="11534" max="11534" width="10.109375" style="302" bestFit="1" customWidth="1"/>
    <col min="11535" max="11536" width="10.109375" style="302" customWidth="1"/>
    <col min="11537" max="11538" width="10.109375" style="302" bestFit="1" customWidth="1"/>
    <col min="11539" max="11778" width="9.109375" style="302"/>
    <col min="11779" max="11779" width="5.5546875" style="302" bestFit="1" customWidth="1"/>
    <col min="11780" max="11781" width="3.5546875" style="302" bestFit="1" customWidth="1"/>
    <col min="11782" max="11782" width="5.5546875" style="302" bestFit="1" customWidth="1"/>
    <col min="11783" max="11783" width="10.109375" style="302" bestFit="1" customWidth="1"/>
    <col min="11784" max="11789" width="9.109375" style="302"/>
    <col min="11790" max="11790" width="10.109375" style="302" bestFit="1" customWidth="1"/>
    <col min="11791" max="11792" width="10.109375" style="302" customWidth="1"/>
    <col min="11793" max="11794" width="10.109375" style="302" bestFit="1" customWidth="1"/>
    <col min="11795" max="12034" width="9.109375" style="302"/>
    <col min="12035" max="12035" width="5.5546875" style="302" bestFit="1" customWidth="1"/>
    <col min="12036" max="12037" width="3.5546875" style="302" bestFit="1" customWidth="1"/>
    <col min="12038" max="12038" width="5.5546875" style="302" bestFit="1" customWidth="1"/>
    <col min="12039" max="12039" width="10.109375" style="302" bestFit="1" customWidth="1"/>
    <col min="12040" max="12045" width="9.109375" style="302"/>
    <col min="12046" max="12046" width="10.109375" style="302" bestFit="1" customWidth="1"/>
    <col min="12047" max="12048" width="10.109375" style="302" customWidth="1"/>
    <col min="12049" max="12050" width="10.109375" style="302" bestFit="1" customWidth="1"/>
    <col min="12051" max="12290" width="9.109375" style="302"/>
    <col min="12291" max="12291" width="5.5546875" style="302" bestFit="1" customWidth="1"/>
    <col min="12292" max="12293" width="3.5546875" style="302" bestFit="1" customWidth="1"/>
    <col min="12294" max="12294" width="5.5546875" style="302" bestFit="1" customWidth="1"/>
    <col min="12295" max="12295" width="10.109375" style="302" bestFit="1" customWidth="1"/>
    <col min="12296" max="12301" width="9.109375" style="302"/>
    <col min="12302" max="12302" width="10.109375" style="302" bestFit="1" customWidth="1"/>
    <col min="12303" max="12304" width="10.109375" style="302" customWidth="1"/>
    <col min="12305" max="12306" width="10.109375" style="302" bestFit="1" customWidth="1"/>
    <col min="12307" max="12546" width="9.109375" style="302"/>
    <col min="12547" max="12547" width="5.5546875" style="302" bestFit="1" customWidth="1"/>
    <col min="12548" max="12549" width="3.5546875" style="302" bestFit="1" customWidth="1"/>
    <col min="12550" max="12550" width="5.5546875" style="302" bestFit="1" customWidth="1"/>
    <col min="12551" max="12551" width="10.109375" style="302" bestFit="1" customWidth="1"/>
    <col min="12552" max="12557" width="9.109375" style="302"/>
    <col min="12558" max="12558" width="10.109375" style="302" bestFit="1" customWidth="1"/>
    <col min="12559" max="12560" width="10.109375" style="302" customWidth="1"/>
    <col min="12561" max="12562" width="10.109375" style="302" bestFit="1" customWidth="1"/>
    <col min="12563" max="12802" width="9.109375" style="302"/>
    <col min="12803" max="12803" width="5.5546875" style="302" bestFit="1" customWidth="1"/>
    <col min="12804" max="12805" width="3.5546875" style="302" bestFit="1" customWidth="1"/>
    <col min="12806" max="12806" width="5.5546875" style="302" bestFit="1" customWidth="1"/>
    <col min="12807" max="12807" width="10.109375" style="302" bestFit="1" customWidth="1"/>
    <col min="12808" max="12813" width="9.109375" style="302"/>
    <col min="12814" max="12814" width="10.109375" style="302" bestFit="1" customWidth="1"/>
    <col min="12815" max="12816" width="10.109375" style="302" customWidth="1"/>
    <col min="12817" max="12818" width="10.109375" style="302" bestFit="1" customWidth="1"/>
    <col min="12819" max="13058" width="9.109375" style="302"/>
    <col min="13059" max="13059" width="5.5546875" style="302" bestFit="1" customWidth="1"/>
    <col min="13060" max="13061" width="3.5546875" style="302" bestFit="1" customWidth="1"/>
    <col min="13062" max="13062" width="5.5546875" style="302" bestFit="1" customWidth="1"/>
    <col min="13063" max="13063" width="10.109375" style="302" bestFit="1" customWidth="1"/>
    <col min="13064" max="13069" width="9.109375" style="302"/>
    <col min="13070" max="13070" width="10.109375" style="302" bestFit="1" customWidth="1"/>
    <col min="13071" max="13072" width="10.109375" style="302" customWidth="1"/>
    <col min="13073" max="13074" width="10.109375" style="302" bestFit="1" customWidth="1"/>
    <col min="13075" max="13314" width="9.109375" style="302"/>
    <col min="13315" max="13315" width="5.5546875" style="302" bestFit="1" customWidth="1"/>
    <col min="13316" max="13317" width="3.5546875" style="302" bestFit="1" customWidth="1"/>
    <col min="13318" max="13318" width="5.5546875" style="302" bestFit="1" customWidth="1"/>
    <col min="13319" max="13319" width="10.109375" style="302" bestFit="1" customWidth="1"/>
    <col min="13320" max="13325" width="9.109375" style="302"/>
    <col min="13326" max="13326" width="10.109375" style="302" bestFit="1" customWidth="1"/>
    <col min="13327" max="13328" width="10.109375" style="302" customWidth="1"/>
    <col min="13329" max="13330" width="10.109375" style="302" bestFit="1" customWidth="1"/>
    <col min="13331" max="13570" width="9.109375" style="302"/>
    <col min="13571" max="13571" width="5.5546875" style="302" bestFit="1" customWidth="1"/>
    <col min="13572" max="13573" width="3.5546875" style="302" bestFit="1" customWidth="1"/>
    <col min="13574" max="13574" width="5.5546875" style="302" bestFit="1" customWidth="1"/>
    <col min="13575" max="13575" width="10.109375" style="302" bestFit="1" customWidth="1"/>
    <col min="13576" max="13581" width="9.109375" style="302"/>
    <col min="13582" max="13582" width="10.109375" style="302" bestFit="1" customWidth="1"/>
    <col min="13583" max="13584" width="10.109375" style="302" customWidth="1"/>
    <col min="13585" max="13586" width="10.109375" style="302" bestFit="1" customWidth="1"/>
    <col min="13587" max="13826" width="9.109375" style="302"/>
    <col min="13827" max="13827" width="5.5546875" style="302" bestFit="1" customWidth="1"/>
    <col min="13828" max="13829" width="3.5546875" style="302" bestFit="1" customWidth="1"/>
    <col min="13830" max="13830" width="5.5546875" style="302" bestFit="1" customWidth="1"/>
    <col min="13831" max="13831" width="10.109375" style="302" bestFit="1" customWidth="1"/>
    <col min="13832" max="13837" width="9.109375" style="302"/>
    <col min="13838" max="13838" width="10.109375" style="302" bestFit="1" customWidth="1"/>
    <col min="13839" max="13840" width="10.109375" style="302" customWidth="1"/>
    <col min="13841" max="13842" width="10.109375" style="302" bestFit="1" customWidth="1"/>
    <col min="13843" max="14082" width="9.109375" style="302"/>
    <col min="14083" max="14083" width="5.5546875" style="302" bestFit="1" customWidth="1"/>
    <col min="14084" max="14085" width="3.5546875" style="302" bestFit="1" customWidth="1"/>
    <col min="14086" max="14086" width="5.5546875" style="302" bestFit="1" customWidth="1"/>
    <col min="14087" max="14087" width="10.109375" style="302" bestFit="1" customWidth="1"/>
    <col min="14088" max="14093" width="9.109375" style="302"/>
    <col min="14094" max="14094" width="10.109375" style="302" bestFit="1" customWidth="1"/>
    <col min="14095" max="14096" width="10.109375" style="302" customWidth="1"/>
    <col min="14097" max="14098" width="10.109375" style="302" bestFit="1" customWidth="1"/>
    <col min="14099" max="14338" width="9.109375" style="302"/>
    <col min="14339" max="14339" width="5.5546875" style="302" bestFit="1" customWidth="1"/>
    <col min="14340" max="14341" width="3.5546875" style="302" bestFit="1" customWidth="1"/>
    <col min="14342" max="14342" width="5.5546875" style="302" bestFit="1" customWidth="1"/>
    <col min="14343" max="14343" width="10.109375" style="302" bestFit="1" customWidth="1"/>
    <col min="14344" max="14349" width="9.109375" style="302"/>
    <col min="14350" max="14350" width="10.109375" style="302" bestFit="1" customWidth="1"/>
    <col min="14351" max="14352" width="10.109375" style="302" customWidth="1"/>
    <col min="14353" max="14354" width="10.109375" style="302" bestFit="1" customWidth="1"/>
    <col min="14355" max="14594" width="9.109375" style="302"/>
    <col min="14595" max="14595" width="5.5546875" style="302" bestFit="1" customWidth="1"/>
    <col min="14596" max="14597" width="3.5546875" style="302" bestFit="1" customWidth="1"/>
    <col min="14598" max="14598" width="5.5546875" style="302" bestFit="1" customWidth="1"/>
    <col min="14599" max="14599" width="10.109375" style="302" bestFit="1" customWidth="1"/>
    <col min="14600" max="14605" width="9.109375" style="302"/>
    <col min="14606" max="14606" width="10.109375" style="302" bestFit="1" customWidth="1"/>
    <col min="14607" max="14608" width="10.109375" style="302" customWidth="1"/>
    <col min="14609" max="14610" width="10.109375" style="302" bestFit="1" customWidth="1"/>
    <col min="14611" max="14850" width="9.109375" style="302"/>
    <col min="14851" max="14851" width="5.5546875" style="302" bestFit="1" customWidth="1"/>
    <col min="14852" max="14853" width="3.5546875" style="302" bestFit="1" customWidth="1"/>
    <col min="14854" max="14854" width="5.5546875" style="302" bestFit="1" customWidth="1"/>
    <col min="14855" max="14855" width="10.109375" style="302" bestFit="1" customWidth="1"/>
    <col min="14856" max="14861" width="9.109375" style="302"/>
    <col min="14862" max="14862" width="10.109375" style="302" bestFit="1" customWidth="1"/>
    <col min="14863" max="14864" width="10.109375" style="302" customWidth="1"/>
    <col min="14865" max="14866" width="10.109375" style="302" bestFit="1" customWidth="1"/>
    <col min="14867" max="15106" width="9.109375" style="302"/>
    <col min="15107" max="15107" width="5.5546875" style="302" bestFit="1" customWidth="1"/>
    <col min="15108" max="15109" width="3.5546875" style="302" bestFit="1" customWidth="1"/>
    <col min="15110" max="15110" width="5.5546875" style="302" bestFit="1" customWidth="1"/>
    <col min="15111" max="15111" width="10.109375" style="302" bestFit="1" customWidth="1"/>
    <col min="15112" max="15117" width="9.109375" style="302"/>
    <col min="15118" max="15118" width="10.109375" style="302" bestFit="1" customWidth="1"/>
    <col min="15119" max="15120" width="10.109375" style="302" customWidth="1"/>
    <col min="15121" max="15122" width="10.109375" style="302" bestFit="1" customWidth="1"/>
    <col min="15123" max="15362" width="9.109375" style="302"/>
    <col min="15363" max="15363" width="5.5546875" style="302" bestFit="1" customWidth="1"/>
    <col min="15364" max="15365" width="3.5546875" style="302" bestFit="1" customWidth="1"/>
    <col min="15366" max="15366" width="5.5546875" style="302" bestFit="1" customWidth="1"/>
    <col min="15367" max="15367" width="10.109375" style="302" bestFit="1" customWidth="1"/>
    <col min="15368" max="15373" width="9.109375" style="302"/>
    <col min="15374" max="15374" width="10.109375" style="302" bestFit="1" customWidth="1"/>
    <col min="15375" max="15376" width="10.109375" style="302" customWidth="1"/>
    <col min="15377" max="15378" width="10.109375" style="302" bestFit="1" customWidth="1"/>
    <col min="15379" max="15618" width="9.109375" style="302"/>
    <col min="15619" max="15619" width="5.5546875" style="302" bestFit="1" customWidth="1"/>
    <col min="15620" max="15621" width="3.5546875" style="302" bestFit="1" customWidth="1"/>
    <col min="15622" max="15622" width="5.5546875" style="302" bestFit="1" customWidth="1"/>
    <col min="15623" max="15623" width="10.109375" style="302" bestFit="1" customWidth="1"/>
    <col min="15624" max="15629" width="9.109375" style="302"/>
    <col min="15630" max="15630" width="10.109375" style="302" bestFit="1" customWidth="1"/>
    <col min="15631" max="15632" width="10.109375" style="302" customWidth="1"/>
    <col min="15633" max="15634" width="10.109375" style="302" bestFit="1" customWidth="1"/>
    <col min="15635" max="15874" width="9.109375" style="302"/>
    <col min="15875" max="15875" width="5.5546875" style="302" bestFit="1" customWidth="1"/>
    <col min="15876" max="15877" width="3.5546875" style="302" bestFit="1" customWidth="1"/>
    <col min="15878" max="15878" width="5.5546875" style="302" bestFit="1" customWidth="1"/>
    <col min="15879" max="15879" width="10.109375" style="302" bestFit="1" customWidth="1"/>
    <col min="15880" max="15885" width="9.109375" style="302"/>
    <col min="15886" max="15886" width="10.109375" style="302" bestFit="1" customWidth="1"/>
    <col min="15887" max="15888" width="10.109375" style="302" customWidth="1"/>
    <col min="15889" max="15890" width="10.109375" style="302" bestFit="1" customWidth="1"/>
    <col min="15891" max="16130" width="9.109375" style="302"/>
    <col min="16131" max="16131" width="5.5546875" style="302" bestFit="1" customWidth="1"/>
    <col min="16132" max="16133" width="3.5546875" style="302" bestFit="1" customWidth="1"/>
    <col min="16134" max="16134" width="5.5546875" style="302" bestFit="1" customWidth="1"/>
    <col min="16135" max="16135" width="10.109375" style="302" bestFit="1" customWidth="1"/>
    <col min="16136" max="16141" width="9.109375" style="302"/>
    <col min="16142" max="16142" width="10.109375" style="302" bestFit="1" customWidth="1"/>
    <col min="16143" max="16144" width="10.109375" style="302" customWidth="1"/>
    <col min="16145" max="16146" width="10.109375" style="302" bestFit="1" customWidth="1"/>
    <col min="16147" max="16384" width="9.109375" style="302"/>
  </cols>
  <sheetData>
    <row r="3" spans="1:22">
      <c r="A3" s="470" t="s">
        <v>0</v>
      </c>
      <c r="B3" s="470"/>
      <c r="C3" s="470"/>
      <c r="D3" s="470"/>
      <c r="E3" s="470"/>
      <c r="F3" s="470"/>
      <c r="G3" s="470"/>
      <c r="H3" s="470"/>
      <c r="I3" s="470"/>
      <c r="J3" s="470"/>
      <c r="K3" s="470"/>
      <c r="L3" s="470"/>
      <c r="M3" s="470"/>
      <c r="N3" s="470"/>
      <c r="O3" s="470"/>
      <c r="P3" s="470"/>
      <c r="Q3" s="470"/>
    </row>
    <row r="4" spans="1:22">
      <c r="A4" s="470" t="s">
        <v>646</v>
      </c>
      <c r="B4" s="470"/>
      <c r="C4" s="470"/>
      <c r="D4" s="470"/>
      <c r="E4" s="470"/>
      <c r="F4" s="470"/>
      <c r="G4" s="470"/>
      <c r="H4" s="470"/>
      <c r="I4" s="470"/>
      <c r="J4" s="470"/>
      <c r="K4" s="470"/>
      <c r="L4" s="470"/>
      <c r="M4" s="470"/>
      <c r="N4" s="470"/>
      <c r="O4" s="470"/>
      <c r="P4" s="470"/>
      <c r="Q4" s="470"/>
      <c r="R4" s="442"/>
      <c r="S4" s="442"/>
      <c r="T4" s="442"/>
      <c r="U4" s="442"/>
      <c r="V4" s="442"/>
    </row>
    <row r="5" spans="1:22">
      <c r="A5" s="470" t="s">
        <v>682</v>
      </c>
      <c r="B5" s="470"/>
      <c r="C5" s="470"/>
      <c r="D5" s="470"/>
      <c r="E5" s="470"/>
      <c r="F5" s="470"/>
      <c r="G5" s="470"/>
      <c r="H5" s="470"/>
      <c r="I5" s="470"/>
      <c r="J5" s="470"/>
      <c r="K5" s="470"/>
      <c r="L5" s="470"/>
      <c r="M5" s="470"/>
      <c r="N5" s="470"/>
      <c r="O5" s="470"/>
      <c r="P5" s="470"/>
      <c r="Q5" s="470"/>
    </row>
    <row r="6" spans="1:22">
      <c r="B6" s="303"/>
      <c r="C6" s="303"/>
      <c r="D6" s="303"/>
      <c r="E6" s="303"/>
      <c r="F6" s="303"/>
      <c r="G6" s="304"/>
      <c r="H6" s="304"/>
      <c r="I6" s="304"/>
      <c r="J6" s="304"/>
      <c r="K6" s="304"/>
      <c r="L6" s="304"/>
      <c r="M6" s="303"/>
      <c r="N6" s="304"/>
      <c r="R6" s="305"/>
      <c r="S6" s="305"/>
      <c r="T6" s="305"/>
      <c r="U6" s="305"/>
      <c r="V6" s="303"/>
    </row>
    <row r="7" spans="1:22" ht="157.80000000000001">
      <c r="B7" s="195" t="s">
        <v>21</v>
      </c>
      <c r="C7" s="195" t="s">
        <v>22</v>
      </c>
      <c r="D7" s="195" t="s">
        <v>23</v>
      </c>
      <c r="E7" s="195" t="s">
        <v>24</v>
      </c>
      <c r="F7" s="196" t="s">
        <v>25</v>
      </c>
      <c r="G7" s="197" t="s">
        <v>723</v>
      </c>
      <c r="H7" s="197" t="s">
        <v>26</v>
      </c>
      <c r="I7" s="197" t="s">
        <v>726</v>
      </c>
      <c r="J7" s="198" t="s">
        <v>724</v>
      </c>
      <c r="K7" s="306" t="s">
        <v>27</v>
      </c>
      <c r="L7" s="307" t="s">
        <v>28</v>
      </c>
      <c r="M7" s="308" t="s">
        <v>683</v>
      </c>
      <c r="N7" s="197" t="str">
        <f>+"PLUS "&amp;G7</f>
        <v>PLUS SMEPA-EMI (GF) (1)</v>
      </c>
      <c r="O7" s="402" t="str">
        <f>+"LESS "&amp;I7</f>
        <v>LESS MEAM - PTP (2)</v>
      </c>
      <c r="P7" s="402" t="s">
        <v>727</v>
      </c>
      <c r="Q7" s="433" t="s">
        <v>728</v>
      </c>
      <c r="R7" s="305"/>
      <c r="S7" s="305"/>
      <c r="T7" s="305"/>
      <c r="U7" s="305"/>
      <c r="V7" s="303"/>
    </row>
    <row r="8" spans="1:22" ht="26.4">
      <c r="A8" s="199" t="s">
        <v>665</v>
      </c>
      <c r="B8" s="303"/>
      <c r="C8" s="303"/>
      <c r="D8" s="303"/>
      <c r="E8" s="303"/>
      <c r="F8" s="200" t="s">
        <v>29</v>
      </c>
      <c r="G8" s="200" t="s">
        <v>30</v>
      </c>
      <c r="H8" s="200" t="s">
        <v>167</v>
      </c>
      <c r="I8" s="200" t="s">
        <v>168</v>
      </c>
      <c r="J8" s="201" t="s">
        <v>169</v>
      </c>
      <c r="K8" s="200" t="s">
        <v>666</v>
      </c>
      <c r="L8" s="200" t="s">
        <v>667</v>
      </c>
      <c r="M8" s="309" t="s">
        <v>647</v>
      </c>
      <c r="N8" s="200" t="s">
        <v>30</v>
      </c>
      <c r="O8" s="200"/>
      <c r="P8" s="200"/>
      <c r="Q8" s="434"/>
    </row>
    <row r="9" spans="1:22">
      <c r="B9" s="202">
        <v>2013</v>
      </c>
      <c r="C9" s="202">
        <v>1</v>
      </c>
      <c r="D9" s="202">
        <v>14</v>
      </c>
      <c r="E9" s="202">
        <v>1900</v>
      </c>
      <c r="F9" s="11">
        <v>2230781</v>
      </c>
      <c r="G9" s="11">
        <v>0</v>
      </c>
      <c r="H9" s="11">
        <v>25000</v>
      </c>
      <c r="I9" s="11">
        <v>53000</v>
      </c>
      <c r="J9" s="11">
        <v>0</v>
      </c>
      <c r="K9" s="11">
        <v>39518</v>
      </c>
      <c r="L9" s="11">
        <v>21247</v>
      </c>
      <c r="M9" s="310">
        <f t="shared" ref="M9:M20" si="0">SUM(F9:L9)</f>
        <v>2369546</v>
      </c>
      <c r="N9" s="11">
        <v>346708</v>
      </c>
      <c r="O9" s="435">
        <f t="shared" ref="O9:O20" si="1">-I9</f>
        <v>-53000</v>
      </c>
      <c r="P9" s="435">
        <f>+'WP 10a'!L9</f>
        <v>422462.19297569088</v>
      </c>
      <c r="Q9" s="436">
        <f t="shared" ref="Q9:Q20" si="2">SUM(M9:P9)</f>
        <v>3085716.1929756911</v>
      </c>
      <c r="R9" s="311"/>
      <c r="S9" s="311"/>
      <c r="T9" s="311"/>
    </row>
    <row r="10" spans="1:22">
      <c r="B10" s="202">
        <v>2013</v>
      </c>
      <c r="C10" s="202">
        <v>2</v>
      </c>
      <c r="D10" s="202">
        <v>14</v>
      </c>
      <c r="E10" s="202">
        <v>800</v>
      </c>
      <c r="F10" s="11">
        <v>1916250</v>
      </c>
      <c r="G10" s="11">
        <v>0</v>
      </c>
      <c r="H10" s="11">
        <v>25000</v>
      </c>
      <c r="I10" s="11">
        <v>53000</v>
      </c>
      <c r="J10" s="11">
        <v>0</v>
      </c>
      <c r="K10" s="11">
        <v>32963</v>
      </c>
      <c r="L10" s="11">
        <v>15187</v>
      </c>
      <c r="M10" s="310">
        <f t="shared" si="0"/>
        <v>2042400</v>
      </c>
      <c r="N10" s="11">
        <v>346708</v>
      </c>
      <c r="O10" s="435">
        <f t="shared" si="1"/>
        <v>-53000</v>
      </c>
      <c r="P10" s="435">
        <f>+'WP 10a'!L10</f>
        <v>422462.19297569088</v>
      </c>
      <c r="Q10" s="436">
        <f t="shared" si="2"/>
        <v>2758570.1929756911</v>
      </c>
      <c r="R10" s="311"/>
      <c r="T10" s="311"/>
    </row>
    <row r="11" spans="1:22">
      <c r="B11" s="202">
        <v>2013</v>
      </c>
      <c r="C11" s="202">
        <v>3</v>
      </c>
      <c r="D11" s="202">
        <v>27</v>
      </c>
      <c r="E11" s="202">
        <v>800</v>
      </c>
      <c r="F11" s="11">
        <v>2018931</v>
      </c>
      <c r="G11" s="11">
        <v>0</v>
      </c>
      <c r="H11" s="11">
        <v>25000</v>
      </c>
      <c r="I11" s="11">
        <v>53000</v>
      </c>
      <c r="J11" s="11">
        <v>0</v>
      </c>
      <c r="K11" s="11">
        <v>33299</v>
      </c>
      <c r="L11" s="11">
        <v>16453</v>
      </c>
      <c r="M11" s="310">
        <f t="shared" si="0"/>
        <v>2146683</v>
      </c>
      <c r="N11" s="11">
        <v>346708</v>
      </c>
      <c r="O11" s="435">
        <f t="shared" si="1"/>
        <v>-53000</v>
      </c>
      <c r="P11" s="435">
        <f>+'WP 10a'!L11</f>
        <v>422462.19297569088</v>
      </c>
      <c r="Q11" s="436">
        <f t="shared" si="2"/>
        <v>2862853.1929756911</v>
      </c>
      <c r="R11" s="311"/>
      <c r="T11" s="311"/>
    </row>
    <row r="12" spans="1:22">
      <c r="B12" s="202">
        <v>2013</v>
      </c>
      <c r="C12" s="202">
        <v>4</v>
      </c>
      <c r="D12" s="202">
        <v>17</v>
      </c>
      <c r="E12" s="202">
        <v>1700</v>
      </c>
      <c r="F12" s="11">
        <v>2102552</v>
      </c>
      <c r="G12" s="11">
        <v>0</v>
      </c>
      <c r="H12" s="11">
        <v>25000</v>
      </c>
      <c r="I12" s="11">
        <v>53000</v>
      </c>
      <c r="J12" s="11">
        <v>0</v>
      </c>
      <c r="K12" s="11">
        <v>40238</v>
      </c>
      <c r="L12" s="11">
        <v>12063</v>
      </c>
      <c r="M12" s="310">
        <f t="shared" si="0"/>
        <v>2232853</v>
      </c>
      <c r="N12" s="11">
        <v>346708</v>
      </c>
      <c r="O12" s="435">
        <f t="shared" si="1"/>
        <v>-53000</v>
      </c>
      <c r="P12" s="435">
        <f>+'WP 10a'!L12</f>
        <v>425678.50202004332</v>
      </c>
      <c r="Q12" s="436">
        <f t="shared" si="2"/>
        <v>2952239.5020200433</v>
      </c>
      <c r="R12" s="311"/>
      <c r="T12" s="311"/>
    </row>
    <row r="13" spans="1:22">
      <c r="B13" s="202">
        <v>2013</v>
      </c>
      <c r="C13" s="202">
        <v>5</v>
      </c>
      <c r="D13" s="202">
        <v>20</v>
      </c>
      <c r="E13" s="202">
        <v>1600</v>
      </c>
      <c r="F13" s="11">
        <v>2486249</v>
      </c>
      <c r="G13" s="11">
        <v>0</v>
      </c>
      <c r="H13" s="11">
        <v>25000</v>
      </c>
      <c r="I13" s="11">
        <v>53000</v>
      </c>
      <c r="J13" s="11">
        <v>0</v>
      </c>
      <c r="K13" s="11">
        <v>51448</v>
      </c>
      <c r="L13" s="11">
        <v>14764</v>
      </c>
      <c r="M13" s="310">
        <f t="shared" si="0"/>
        <v>2630461</v>
      </c>
      <c r="N13" s="11">
        <v>346708</v>
      </c>
      <c r="O13" s="435">
        <f t="shared" si="1"/>
        <v>-53000</v>
      </c>
      <c r="P13" s="435">
        <f>+'WP 10a'!L13</f>
        <v>425678.50202004332</v>
      </c>
      <c r="Q13" s="436">
        <f t="shared" si="2"/>
        <v>3349847.5020200433</v>
      </c>
      <c r="R13" s="311"/>
      <c r="T13" s="311"/>
    </row>
    <row r="14" spans="1:22">
      <c r="B14" s="202">
        <v>2013</v>
      </c>
      <c r="C14" s="202">
        <v>6</v>
      </c>
      <c r="D14" s="202">
        <v>27</v>
      </c>
      <c r="E14" s="202">
        <v>1700</v>
      </c>
      <c r="F14" s="11">
        <v>3055797</v>
      </c>
      <c r="G14" s="11">
        <v>0</v>
      </c>
      <c r="H14" s="11">
        <v>25000</v>
      </c>
      <c r="I14" s="11">
        <v>53000</v>
      </c>
      <c r="J14" s="11">
        <v>0</v>
      </c>
      <c r="K14" s="11">
        <v>67340</v>
      </c>
      <c r="L14" s="11">
        <v>22351</v>
      </c>
      <c r="M14" s="310">
        <f t="shared" si="0"/>
        <v>3223488</v>
      </c>
      <c r="N14" s="11">
        <v>346017</v>
      </c>
      <c r="O14" s="435">
        <f t="shared" si="1"/>
        <v>-53000</v>
      </c>
      <c r="P14" s="435">
        <f>+'WP 10a'!L14</f>
        <v>416672.83669585653</v>
      </c>
      <c r="Q14" s="436">
        <f t="shared" si="2"/>
        <v>3933177.8366958564</v>
      </c>
      <c r="R14" s="311"/>
      <c r="T14" s="311"/>
    </row>
    <row r="15" spans="1:22">
      <c r="B15" s="202">
        <v>2013</v>
      </c>
      <c r="C15" s="202">
        <v>7</v>
      </c>
      <c r="D15" s="202">
        <v>10</v>
      </c>
      <c r="E15" s="202">
        <v>1600</v>
      </c>
      <c r="F15" s="11">
        <v>2928252</v>
      </c>
      <c r="G15" s="11">
        <v>0</v>
      </c>
      <c r="H15" s="11">
        <v>25000</v>
      </c>
      <c r="I15" s="11">
        <v>53000</v>
      </c>
      <c r="J15" s="11">
        <v>0</v>
      </c>
      <c r="K15" s="11">
        <v>66089</v>
      </c>
      <c r="L15" s="11">
        <v>24366</v>
      </c>
      <c r="M15" s="310">
        <f t="shared" si="0"/>
        <v>3096707</v>
      </c>
      <c r="N15" s="11">
        <v>344329</v>
      </c>
      <c r="O15" s="435">
        <f t="shared" si="1"/>
        <v>-53000</v>
      </c>
      <c r="P15" s="435">
        <f>+'WP 10a'!L15</f>
        <v>416672.83669585653</v>
      </c>
      <c r="Q15" s="436">
        <f t="shared" si="2"/>
        <v>3804708.8366958564</v>
      </c>
      <c r="R15" s="311"/>
      <c r="T15" s="311"/>
    </row>
    <row r="16" spans="1:22">
      <c r="B16" s="202">
        <v>2013</v>
      </c>
      <c r="C16" s="202">
        <v>8</v>
      </c>
      <c r="D16" s="202">
        <v>8</v>
      </c>
      <c r="E16" s="202">
        <v>1700</v>
      </c>
      <c r="F16" s="11">
        <v>3173442</v>
      </c>
      <c r="G16" s="11">
        <v>0</v>
      </c>
      <c r="H16" s="11">
        <v>25000</v>
      </c>
      <c r="I16" s="11">
        <v>53000</v>
      </c>
      <c r="J16" s="11">
        <v>0</v>
      </c>
      <c r="K16" s="11">
        <v>69130</v>
      </c>
      <c r="L16" s="11">
        <v>22845</v>
      </c>
      <c r="M16" s="310">
        <f t="shared" si="0"/>
        <v>3343417</v>
      </c>
      <c r="N16" s="11">
        <v>336374</v>
      </c>
      <c r="O16" s="435">
        <f t="shared" si="1"/>
        <v>-53000</v>
      </c>
      <c r="P16" s="435">
        <f>+'WP 10a'!L16</f>
        <v>416672.83669585653</v>
      </c>
      <c r="Q16" s="436">
        <f t="shared" si="2"/>
        <v>4043463.8366958564</v>
      </c>
      <c r="R16" s="311"/>
      <c r="T16" s="311"/>
    </row>
    <row r="17" spans="1:26">
      <c r="B17" s="202">
        <v>2013</v>
      </c>
      <c r="C17" s="202">
        <v>9</v>
      </c>
      <c r="D17" s="202">
        <v>3</v>
      </c>
      <c r="E17" s="202">
        <v>1600</v>
      </c>
      <c r="F17" s="11">
        <v>2832333</v>
      </c>
      <c r="G17" s="11">
        <v>0</v>
      </c>
      <c r="H17" s="11">
        <v>25000</v>
      </c>
      <c r="I17" s="11">
        <v>53000</v>
      </c>
      <c r="J17" s="11">
        <v>0</v>
      </c>
      <c r="K17" s="11">
        <v>60787</v>
      </c>
      <c r="L17" s="11">
        <v>18139</v>
      </c>
      <c r="M17" s="310">
        <f t="shared" si="0"/>
        <v>2989259</v>
      </c>
      <c r="N17" s="11">
        <v>336374</v>
      </c>
      <c r="O17" s="435">
        <f t="shared" si="1"/>
        <v>-53000</v>
      </c>
      <c r="P17" s="435">
        <f>+'WP 10a'!L17</f>
        <v>416672.83669585653</v>
      </c>
      <c r="Q17" s="436">
        <f t="shared" si="2"/>
        <v>3689305.8366958564</v>
      </c>
      <c r="R17" s="311"/>
      <c r="T17" s="311"/>
    </row>
    <row r="18" spans="1:26">
      <c r="B18" s="202">
        <v>2013</v>
      </c>
      <c r="C18" s="202">
        <v>10</v>
      </c>
      <c r="D18" s="202">
        <v>3</v>
      </c>
      <c r="E18" s="202">
        <v>1600</v>
      </c>
      <c r="F18" s="11">
        <v>2365968</v>
      </c>
      <c r="G18" s="11">
        <v>0</v>
      </c>
      <c r="H18" s="11">
        <v>25000</v>
      </c>
      <c r="I18" s="11">
        <v>53000</v>
      </c>
      <c r="J18" s="11">
        <v>0</v>
      </c>
      <c r="K18" s="11">
        <v>53000</v>
      </c>
      <c r="L18" s="11">
        <v>15111</v>
      </c>
      <c r="M18" s="310">
        <f t="shared" si="0"/>
        <v>2512079</v>
      </c>
      <c r="N18" s="11">
        <v>336374</v>
      </c>
      <c r="O18" s="435">
        <f t="shared" si="1"/>
        <v>-53000</v>
      </c>
      <c r="P18" s="435">
        <f>+'WP 10a'!L18</f>
        <v>416672.83669585653</v>
      </c>
      <c r="Q18" s="436">
        <f t="shared" si="2"/>
        <v>3212125.8366958564</v>
      </c>
      <c r="R18" s="311"/>
      <c r="T18" s="311"/>
    </row>
    <row r="19" spans="1:26">
      <c r="B19" s="202">
        <v>2013</v>
      </c>
      <c r="C19" s="202">
        <v>11</v>
      </c>
      <c r="D19" s="202">
        <v>28</v>
      </c>
      <c r="E19" s="202">
        <v>900</v>
      </c>
      <c r="F19" s="11">
        <v>1984862</v>
      </c>
      <c r="G19" s="11">
        <v>0</v>
      </c>
      <c r="H19" s="11">
        <v>25000</v>
      </c>
      <c r="I19" s="11">
        <v>53000</v>
      </c>
      <c r="J19" s="11">
        <v>0</v>
      </c>
      <c r="K19" s="11">
        <v>31000</v>
      </c>
      <c r="L19" s="11">
        <v>20462</v>
      </c>
      <c r="M19" s="310">
        <f t="shared" si="0"/>
        <v>2114324</v>
      </c>
      <c r="N19" s="11">
        <v>336374</v>
      </c>
      <c r="O19" s="435">
        <f t="shared" si="1"/>
        <v>-53000</v>
      </c>
      <c r="P19" s="435">
        <f>+'WP 10a'!L19</f>
        <v>416672.83669585653</v>
      </c>
      <c r="Q19" s="436">
        <f t="shared" si="2"/>
        <v>2814370.8366958564</v>
      </c>
      <c r="R19" s="311"/>
      <c r="T19" s="311"/>
    </row>
    <row r="20" spans="1:26">
      <c r="B20" s="202">
        <v>2013</v>
      </c>
      <c r="C20" s="202">
        <v>12</v>
      </c>
      <c r="D20" s="202">
        <v>16</v>
      </c>
      <c r="E20" s="202">
        <v>800</v>
      </c>
      <c r="F20" s="203">
        <v>2076914</v>
      </c>
      <c r="G20" s="203">
        <v>0</v>
      </c>
      <c r="H20" s="203">
        <v>25000</v>
      </c>
      <c r="I20" s="203">
        <v>53000</v>
      </c>
      <c r="J20" s="203">
        <v>0</v>
      </c>
      <c r="K20" s="203">
        <v>33000</v>
      </c>
      <c r="L20" s="203">
        <v>17452</v>
      </c>
      <c r="M20" s="312">
        <f t="shared" si="0"/>
        <v>2205366</v>
      </c>
      <c r="N20" s="203">
        <v>336374</v>
      </c>
      <c r="O20" s="437">
        <f t="shared" si="1"/>
        <v>-53000</v>
      </c>
      <c r="P20" s="437">
        <f>+'WP 10a'!L20</f>
        <v>416672.83669585653</v>
      </c>
      <c r="Q20" s="438">
        <f t="shared" si="2"/>
        <v>2905412.8366958564</v>
      </c>
      <c r="R20" s="311"/>
      <c r="T20" s="311"/>
    </row>
    <row r="21" spans="1:26" ht="9" customHeight="1">
      <c r="M21" s="310"/>
      <c r="O21" s="439"/>
      <c r="P21" s="439"/>
    </row>
    <row r="22" spans="1:26" ht="15" thickBot="1">
      <c r="E22" s="313" t="s">
        <v>14</v>
      </c>
      <c r="F22" s="314">
        <f>SUM(F9:F20)</f>
        <v>29172331</v>
      </c>
      <c r="G22" s="314">
        <f t="shared" ref="G22:M22" si="3">SUM(G9:G20)</f>
        <v>0</v>
      </c>
      <c r="H22" s="314">
        <f t="shared" si="3"/>
        <v>300000</v>
      </c>
      <c r="I22" s="314">
        <f t="shared" si="3"/>
        <v>636000</v>
      </c>
      <c r="J22" s="314">
        <f>SUM(J9:J20)</f>
        <v>0</v>
      </c>
      <c r="K22" s="314">
        <f t="shared" si="3"/>
        <v>577812</v>
      </c>
      <c r="L22" s="314">
        <f t="shared" si="3"/>
        <v>220440</v>
      </c>
      <c r="M22" s="314">
        <f t="shared" si="3"/>
        <v>30906583</v>
      </c>
      <c r="N22" s="314">
        <f t="shared" ref="N22" si="4">SUM(N9:N20)</f>
        <v>4105756</v>
      </c>
      <c r="O22" s="440">
        <f>SUM(O9:O20)</f>
        <v>-636000</v>
      </c>
      <c r="P22" s="440">
        <f t="shared" ref="P22:Q22" si="5">SUM(P9:P20)</f>
        <v>5035453.4398381542</v>
      </c>
      <c r="Q22" s="440">
        <f t="shared" si="5"/>
        <v>39411792.439838156</v>
      </c>
      <c r="R22" s="311"/>
    </row>
    <row r="23" spans="1:26" ht="14.4" thickTop="1" thickBot="1">
      <c r="M23" s="310"/>
      <c r="O23" s="441"/>
      <c r="P23" s="441"/>
      <c r="Q23" s="441"/>
    </row>
    <row r="24" spans="1:26" ht="13.8" thickBot="1">
      <c r="E24" s="313" t="s">
        <v>648</v>
      </c>
      <c r="F24" s="315">
        <f>SUM(F9:F20)/12</f>
        <v>2431027.5833333335</v>
      </c>
      <c r="G24" s="315">
        <f t="shared" ref="G24:M24" si="6">SUM(G9:G20)/12</f>
        <v>0</v>
      </c>
      <c r="H24" s="315">
        <f t="shared" si="6"/>
        <v>25000</v>
      </c>
      <c r="I24" s="315">
        <f t="shared" si="6"/>
        <v>53000</v>
      </c>
      <c r="J24" s="315">
        <f>SUM(J9:J20)/12</f>
        <v>0</v>
      </c>
      <c r="K24" s="315">
        <f t="shared" si="6"/>
        <v>48151</v>
      </c>
      <c r="L24" s="315">
        <f t="shared" si="6"/>
        <v>18370</v>
      </c>
      <c r="M24" s="316">
        <f t="shared" si="6"/>
        <v>2575548.5833333335</v>
      </c>
      <c r="N24" s="315"/>
      <c r="O24" s="441"/>
      <c r="P24" s="441"/>
      <c r="Q24" s="441"/>
      <c r="R24" s="318"/>
      <c r="S24" s="319"/>
      <c r="T24" s="318"/>
      <c r="U24" s="315"/>
      <c r="V24" s="320"/>
      <c r="W24" s="320"/>
      <c r="X24" s="301"/>
      <c r="Y24" s="320"/>
      <c r="Z24" s="301"/>
    </row>
    <row r="25" spans="1:26">
      <c r="E25" s="313"/>
      <c r="F25" s="315"/>
      <c r="G25" s="315"/>
      <c r="H25" s="315"/>
      <c r="I25" s="315"/>
      <c r="J25" s="315"/>
      <c r="K25" s="315"/>
      <c r="L25" s="315"/>
      <c r="M25" s="317"/>
      <c r="N25" s="315"/>
      <c r="O25" s="441"/>
      <c r="P25" s="441"/>
      <c r="Q25" s="441"/>
      <c r="R25" s="318"/>
      <c r="S25" s="319"/>
      <c r="T25" s="318"/>
      <c r="U25" s="315"/>
      <c r="V25" s="320"/>
      <c r="W25" s="320"/>
      <c r="X25" s="301"/>
      <c r="Y25" s="320"/>
      <c r="Z25" s="301"/>
    </row>
    <row r="26" spans="1:26">
      <c r="A26" s="431" t="s">
        <v>693</v>
      </c>
      <c r="M26" s="310"/>
      <c r="O26" s="441"/>
      <c r="P26" s="441"/>
      <c r="Q26" s="441"/>
    </row>
    <row r="27" spans="1:26">
      <c r="A27" s="443" t="s">
        <v>12</v>
      </c>
      <c r="B27" s="471" t="s">
        <v>731</v>
      </c>
      <c r="C27" s="471"/>
      <c r="D27" s="471"/>
      <c r="E27" s="471"/>
      <c r="F27" s="471"/>
      <c r="G27" s="471"/>
      <c r="H27" s="471"/>
      <c r="I27" s="471"/>
      <c r="J27" s="471"/>
      <c r="K27" s="471"/>
      <c r="L27" s="471"/>
      <c r="M27" s="471"/>
      <c r="N27" s="471"/>
      <c r="O27" s="471"/>
      <c r="P27" s="471"/>
      <c r="Q27" s="471"/>
    </row>
    <row r="28" spans="1:26">
      <c r="A28" s="432" t="s">
        <v>136</v>
      </c>
      <c r="B28" s="322" t="s">
        <v>725</v>
      </c>
      <c r="C28" s="321"/>
      <c r="D28" s="321"/>
      <c r="E28" s="321"/>
      <c r="F28" s="321"/>
      <c r="G28" s="321"/>
      <c r="H28" s="321"/>
      <c r="I28" s="321"/>
      <c r="J28" s="321"/>
      <c r="K28" s="321"/>
      <c r="L28" s="321"/>
      <c r="M28" s="321"/>
      <c r="N28" s="397"/>
    </row>
    <row r="29" spans="1:26">
      <c r="A29" s="432" t="s">
        <v>618</v>
      </c>
      <c r="B29" s="399" t="s">
        <v>729</v>
      </c>
    </row>
    <row r="30" spans="1:26">
      <c r="A30" s="322" t="s">
        <v>619</v>
      </c>
      <c r="B30" s="399" t="s">
        <v>730</v>
      </c>
    </row>
    <row r="31" spans="1:26">
      <c r="A31" s="322"/>
    </row>
    <row r="32" spans="1:26" s="301" customFormat="1">
      <c r="E32" s="323"/>
      <c r="F32" s="311"/>
      <c r="G32" s="311"/>
      <c r="H32" s="311"/>
      <c r="I32" s="311"/>
      <c r="J32" s="311"/>
      <c r="K32" s="311"/>
      <c r="L32" s="311"/>
      <c r="M32" s="311"/>
      <c r="N32" s="311"/>
      <c r="O32" s="399"/>
      <c r="P32" s="399"/>
      <c r="Q32" s="399"/>
      <c r="R32" s="311"/>
    </row>
  </sheetData>
  <mergeCells count="4">
    <mergeCell ref="A3:Q3"/>
    <mergeCell ref="A4:Q4"/>
    <mergeCell ref="A5:Q5"/>
    <mergeCell ref="B27:Q27"/>
  </mergeCells>
  <printOptions horizontalCentered="1"/>
  <pageMargins left="0.7" right="0.7" top="0.75" bottom="0.75" header="0.3" footer="0.3"/>
  <pageSetup scale="74" orientation="landscape" r:id="rId1"/>
  <headerFooter>
    <oddFooter>&amp;RWP 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34"/>
  <sheetViews>
    <sheetView workbookViewId="0"/>
  </sheetViews>
  <sheetFormatPr defaultRowHeight="13.2"/>
  <cols>
    <col min="1" max="1" width="7.33203125" style="399" bestFit="1" customWidth="1"/>
    <col min="2" max="2" width="5" style="399" bestFit="1" customWidth="1"/>
    <col min="3" max="4" width="3.33203125" style="399" bestFit="1" customWidth="1"/>
    <col min="5" max="5" width="5" style="399" bestFit="1" customWidth="1"/>
    <col min="6" max="6" width="9" style="399" customWidth="1"/>
    <col min="7" max="7" width="11.88671875" style="399" bestFit="1" customWidth="1"/>
    <col min="8" max="14" width="14.33203125" style="399" customWidth="1"/>
    <col min="15" max="16" width="11.6640625" style="398" bestFit="1" customWidth="1"/>
    <col min="17" max="17" width="8.88671875" style="398"/>
    <col min="18" max="18" width="10.33203125" style="398" bestFit="1" customWidth="1"/>
    <col min="19" max="19" width="8.88671875" style="398"/>
    <col min="20" max="251" width="8.88671875" style="399"/>
    <col min="252" max="252" width="9.5546875" style="399" bestFit="1" customWidth="1"/>
    <col min="253" max="254" width="3.5546875" style="399" bestFit="1" customWidth="1"/>
    <col min="255" max="255" width="5.5546875" style="399" bestFit="1" customWidth="1"/>
    <col min="256" max="257" width="10.6640625" style="399" bestFit="1" customWidth="1"/>
    <col min="258" max="258" width="9.6640625" style="399" bestFit="1" customWidth="1"/>
    <col min="259" max="259" width="9.6640625" style="399" customWidth="1"/>
    <col min="260" max="261" width="9.6640625" style="399" bestFit="1" customWidth="1"/>
    <col min="262" max="262" width="8.109375" style="399" bestFit="1" customWidth="1"/>
    <col min="263" max="267" width="9.33203125" style="399" bestFit="1" customWidth="1"/>
    <col min="268" max="268" width="10.6640625" style="399" bestFit="1" customWidth="1"/>
    <col min="269" max="270" width="10.6640625" style="399" customWidth="1"/>
    <col min="271" max="272" width="11.6640625" style="399" bestFit="1" customWidth="1"/>
    <col min="273" max="273" width="8.88671875" style="399"/>
    <col min="274" max="274" width="10.33203125" style="399" bestFit="1" customWidth="1"/>
    <col min="275" max="507" width="8.88671875" style="399"/>
    <col min="508" max="508" width="9.5546875" style="399" bestFit="1" customWidth="1"/>
    <col min="509" max="510" width="3.5546875" style="399" bestFit="1" customWidth="1"/>
    <col min="511" max="511" width="5.5546875" style="399" bestFit="1" customWidth="1"/>
    <col min="512" max="513" width="10.6640625" style="399" bestFit="1" customWidth="1"/>
    <col min="514" max="514" width="9.6640625" style="399" bestFit="1" customWidth="1"/>
    <col min="515" max="515" width="9.6640625" style="399" customWidth="1"/>
    <col min="516" max="517" width="9.6640625" style="399" bestFit="1" customWidth="1"/>
    <col min="518" max="518" width="8.109375" style="399" bestFit="1" customWidth="1"/>
    <col min="519" max="523" width="9.33203125" style="399" bestFit="1" customWidth="1"/>
    <col min="524" max="524" width="10.6640625" style="399" bestFit="1" customWidth="1"/>
    <col min="525" max="526" width="10.6640625" style="399" customWidth="1"/>
    <col min="527" max="528" width="11.6640625" style="399" bestFit="1" customWidth="1"/>
    <col min="529" max="529" width="8.88671875" style="399"/>
    <col min="530" max="530" width="10.33203125" style="399" bestFit="1" customWidth="1"/>
    <col min="531" max="763" width="8.88671875" style="399"/>
    <col min="764" max="764" width="9.5546875" style="399" bestFit="1" customWidth="1"/>
    <col min="765" max="766" width="3.5546875" style="399" bestFit="1" customWidth="1"/>
    <col min="767" max="767" width="5.5546875" style="399" bestFit="1" customWidth="1"/>
    <col min="768" max="769" width="10.6640625" style="399" bestFit="1" customWidth="1"/>
    <col min="770" max="770" width="9.6640625" style="399" bestFit="1" customWidth="1"/>
    <col min="771" max="771" width="9.6640625" style="399" customWidth="1"/>
    <col min="772" max="773" width="9.6640625" style="399" bestFit="1" customWidth="1"/>
    <col min="774" max="774" width="8.109375" style="399" bestFit="1" customWidth="1"/>
    <col min="775" max="779" width="9.33203125" style="399" bestFit="1" customWidth="1"/>
    <col min="780" max="780" width="10.6640625" style="399" bestFit="1" customWidth="1"/>
    <col min="781" max="782" width="10.6640625" style="399" customWidth="1"/>
    <col min="783" max="784" width="11.6640625" style="399" bestFit="1" customWidth="1"/>
    <col min="785" max="785" width="8.88671875" style="399"/>
    <col min="786" max="786" width="10.33203125" style="399" bestFit="1" customWidth="1"/>
    <col min="787" max="1019" width="8.88671875" style="399"/>
    <col min="1020" max="1020" width="9.5546875" style="399" bestFit="1" customWidth="1"/>
    <col min="1021" max="1022" width="3.5546875" style="399" bestFit="1" customWidth="1"/>
    <col min="1023" max="1023" width="5.5546875" style="399" bestFit="1" customWidth="1"/>
    <col min="1024" max="1025" width="10.6640625" style="399" bestFit="1" customWidth="1"/>
    <col min="1026" max="1026" width="9.6640625" style="399" bestFit="1" customWidth="1"/>
    <col min="1027" max="1027" width="9.6640625" style="399" customWidth="1"/>
    <col min="1028" max="1029" width="9.6640625" style="399" bestFit="1" customWidth="1"/>
    <col min="1030" max="1030" width="8.109375" style="399" bestFit="1" customWidth="1"/>
    <col min="1031" max="1035" width="9.33203125" style="399" bestFit="1" customWidth="1"/>
    <col min="1036" max="1036" width="10.6640625" style="399" bestFit="1" customWidth="1"/>
    <col min="1037" max="1038" width="10.6640625" style="399" customWidth="1"/>
    <col min="1039" max="1040" width="11.6640625" style="399" bestFit="1" customWidth="1"/>
    <col min="1041" max="1041" width="8.88671875" style="399"/>
    <col min="1042" max="1042" width="10.33203125" style="399" bestFit="1" customWidth="1"/>
    <col min="1043" max="1275" width="8.88671875" style="399"/>
    <col min="1276" max="1276" width="9.5546875" style="399" bestFit="1" customWidth="1"/>
    <col min="1277" max="1278" width="3.5546875" style="399" bestFit="1" customWidth="1"/>
    <col min="1279" max="1279" width="5.5546875" style="399" bestFit="1" customWidth="1"/>
    <col min="1280" max="1281" width="10.6640625" style="399" bestFit="1" customWidth="1"/>
    <col min="1282" max="1282" width="9.6640625" style="399" bestFit="1" customWidth="1"/>
    <col min="1283" max="1283" width="9.6640625" style="399" customWidth="1"/>
    <col min="1284" max="1285" width="9.6640625" style="399" bestFit="1" customWidth="1"/>
    <col min="1286" max="1286" width="8.109375" style="399" bestFit="1" customWidth="1"/>
    <col min="1287" max="1291" width="9.33203125" style="399" bestFit="1" customWidth="1"/>
    <col min="1292" max="1292" width="10.6640625" style="399" bestFit="1" customWidth="1"/>
    <col min="1293" max="1294" width="10.6640625" style="399" customWidth="1"/>
    <col min="1295" max="1296" width="11.6640625" style="399" bestFit="1" customWidth="1"/>
    <col min="1297" max="1297" width="8.88671875" style="399"/>
    <col min="1298" max="1298" width="10.33203125" style="399" bestFit="1" customWidth="1"/>
    <col min="1299" max="1531" width="8.88671875" style="399"/>
    <col min="1532" max="1532" width="9.5546875" style="399" bestFit="1" customWidth="1"/>
    <col min="1533" max="1534" width="3.5546875" style="399" bestFit="1" customWidth="1"/>
    <col min="1535" max="1535" width="5.5546875" style="399" bestFit="1" customWidth="1"/>
    <col min="1536" max="1537" width="10.6640625" style="399" bestFit="1" customWidth="1"/>
    <col min="1538" max="1538" width="9.6640625" style="399" bestFit="1" customWidth="1"/>
    <col min="1539" max="1539" width="9.6640625" style="399" customWidth="1"/>
    <col min="1540" max="1541" width="9.6640625" style="399" bestFit="1" customWidth="1"/>
    <col min="1542" max="1542" width="8.109375" style="399" bestFit="1" customWidth="1"/>
    <col min="1543" max="1547" width="9.33203125" style="399" bestFit="1" customWidth="1"/>
    <col min="1548" max="1548" width="10.6640625" style="399" bestFit="1" customWidth="1"/>
    <col min="1549" max="1550" width="10.6640625" style="399" customWidth="1"/>
    <col min="1551" max="1552" width="11.6640625" style="399" bestFit="1" customWidth="1"/>
    <col min="1553" max="1553" width="8.88671875" style="399"/>
    <col min="1554" max="1554" width="10.33203125" style="399" bestFit="1" customWidth="1"/>
    <col min="1555" max="1787" width="8.88671875" style="399"/>
    <col min="1788" max="1788" width="9.5546875" style="399" bestFit="1" customWidth="1"/>
    <col min="1789" max="1790" width="3.5546875" style="399" bestFit="1" customWidth="1"/>
    <col min="1791" max="1791" width="5.5546875" style="399" bestFit="1" customWidth="1"/>
    <col min="1792" max="1793" width="10.6640625" style="399" bestFit="1" customWidth="1"/>
    <col min="1794" max="1794" width="9.6640625" style="399" bestFit="1" customWidth="1"/>
    <col min="1795" max="1795" width="9.6640625" style="399" customWidth="1"/>
    <col min="1796" max="1797" width="9.6640625" style="399" bestFit="1" customWidth="1"/>
    <col min="1798" max="1798" width="8.109375" style="399" bestFit="1" customWidth="1"/>
    <col min="1799" max="1803" width="9.33203125" style="399" bestFit="1" customWidth="1"/>
    <col min="1804" max="1804" width="10.6640625" style="399" bestFit="1" customWidth="1"/>
    <col min="1805" max="1806" width="10.6640625" style="399" customWidth="1"/>
    <col min="1807" max="1808" width="11.6640625" style="399" bestFit="1" customWidth="1"/>
    <col min="1809" max="1809" width="8.88671875" style="399"/>
    <col min="1810" max="1810" width="10.33203125" style="399" bestFit="1" customWidth="1"/>
    <col min="1811" max="2043" width="8.88671875" style="399"/>
    <col min="2044" max="2044" width="9.5546875" style="399" bestFit="1" customWidth="1"/>
    <col min="2045" max="2046" width="3.5546875" style="399" bestFit="1" customWidth="1"/>
    <col min="2047" max="2047" width="5.5546875" style="399" bestFit="1" customWidth="1"/>
    <col min="2048" max="2049" width="10.6640625" style="399" bestFit="1" customWidth="1"/>
    <col min="2050" max="2050" width="9.6640625" style="399" bestFit="1" customWidth="1"/>
    <col min="2051" max="2051" width="9.6640625" style="399" customWidth="1"/>
    <col min="2052" max="2053" width="9.6640625" style="399" bestFit="1" customWidth="1"/>
    <col min="2054" max="2054" width="8.109375" style="399" bestFit="1" customWidth="1"/>
    <col min="2055" max="2059" width="9.33203125" style="399" bestFit="1" customWidth="1"/>
    <col min="2060" max="2060" width="10.6640625" style="399" bestFit="1" customWidth="1"/>
    <col min="2061" max="2062" width="10.6640625" style="399" customWidth="1"/>
    <col min="2063" max="2064" width="11.6640625" style="399" bestFit="1" customWidth="1"/>
    <col min="2065" max="2065" width="8.88671875" style="399"/>
    <col min="2066" max="2066" width="10.33203125" style="399" bestFit="1" customWidth="1"/>
    <col min="2067" max="2299" width="8.88671875" style="399"/>
    <col min="2300" max="2300" width="9.5546875" style="399" bestFit="1" customWidth="1"/>
    <col min="2301" max="2302" width="3.5546875" style="399" bestFit="1" customWidth="1"/>
    <col min="2303" max="2303" width="5.5546875" style="399" bestFit="1" customWidth="1"/>
    <col min="2304" max="2305" width="10.6640625" style="399" bestFit="1" customWidth="1"/>
    <col min="2306" max="2306" width="9.6640625" style="399" bestFit="1" customWidth="1"/>
    <col min="2307" max="2307" width="9.6640625" style="399" customWidth="1"/>
    <col min="2308" max="2309" width="9.6640625" style="399" bestFit="1" customWidth="1"/>
    <col min="2310" max="2310" width="8.109375" style="399" bestFit="1" customWidth="1"/>
    <col min="2311" max="2315" width="9.33203125" style="399" bestFit="1" customWidth="1"/>
    <col min="2316" max="2316" width="10.6640625" style="399" bestFit="1" customWidth="1"/>
    <col min="2317" max="2318" width="10.6640625" style="399" customWidth="1"/>
    <col min="2319" max="2320" width="11.6640625" style="399" bestFit="1" customWidth="1"/>
    <col min="2321" max="2321" width="8.88671875" style="399"/>
    <col min="2322" max="2322" width="10.33203125" style="399" bestFit="1" customWidth="1"/>
    <col min="2323" max="2555" width="8.88671875" style="399"/>
    <col min="2556" max="2556" width="9.5546875" style="399" bestFit="1" customWidth="1"/>
    <col min="2557" max="2558" width="3.5546875" style="399" bestFit="1" customWidth="1"/>
    <col min="2559" max="2559" width="5.5546875" style="399" bestFit="1" customWidth="1"/>
    <col min="2560" max="2561" width="10.6640625" style="399" bestFit="1" customWidth="1"/>
    <col min="2562" max="2562" width="9.6640625" style="399" bestFit="1" customWidth="1"/>
    <col min="2563" max="2563" width="9.6640625" style="399" customWidth="1"/>
    <col min="2564" max="2565" width="9.6640625" style="399" bestFit="1" customWidth="1"/>
    <col min="2566" max="2566" width="8.109375" style="399" bestFit="1" customWidth="1"/>
    <col min="2567" max="2571" width="9.33203125" style="399" bestFit="1" customWidth="1"/>
    <col min="2572" max="2572" width="10.6640625" style="399" bestFit="1" customWidth="1"/>
    <col min="2573" max="2574" width="10.6640625" style="399" customWidth="1"/>
    <col min="2575" max="2576" width="11.6640625" style="399" bestFit="1" customWidth="1"/>
    <col min="2577" max="2577" width="8.88671875" style="399"/>
    <col min="2578" max="2578" width="10.33203125" style="399" bestFit="1" customWidth="1"/>
    <col min="2579" max="2811" width="8.88671875" style="399"/>
    <col min="2812" max="2812" width="9.5546875" style="399" bestFit="1" customWidth="1"/>
    <col min="2813" max="2814" width="3.5546875" style="399" bestFit="1" customWidth="1"/>
    <col min="2815" max="2815" width="5.5546875" style="399" bestFit="1" customWidth="1"/>
    <col min="2816" max="2817" width="10.6640625" style="399" bestFit="1" customWidth="1"/>
    <col min="2818" max="2818" width="9.6640625" style="399" bestFit="1" customWidth="1"/>
    <col min="2819" max="2819" width="9.6640625" style="399" customWidth="1"/>
    <col min="2820" max="2821" width="9.6640625" style="399" bestFit="1" customWidth="1"/>
    <col min="2822" max="2822" width="8.109375" style="399" bestFit="1" customWidth="1"/>
    <col min="2823" max="2827" width="9.33203125" style="399" bestFit="1" customWidth="1"/>
    <col min="2828" max="2828" width="10.6640625" style="399" bestFit="1" customWidth="1"/>
    <col min="2829" max="2830" width="10.6640625" style="399" customWidth="1"/>
    <col min="2831" max="2832" width="11.6640625" style="399" bestFit="1" customWidth="1"/>
    <col min="2833" max="2833" width="8.88671875" style="399"/>
    <col min="2834" max="2834" width="10.33203125" style="399" bestFit="1" customWidth="1"/>
    <col min="2835" max="3067" width="8.88671875" style="399"/>
    <col min="3068" max="3068" width="9.5546875" style="399" bestFit="1" customWidth="1"/>
    <col min="3069" max="3070" width="3.5546875" style="399" bestFit="1" customWidth="1"/>
    <col min="3071" max="3071" width="5.5546875" style="399" bestFit="1" customWidth="1"/>
    <col min="3072" max="3073" width="10.6640625" style="399" bestFit="1" customWidth="1"/>
    <col min="3074" max="3074" width="9.6640625" style="399" bestFit="1" customWidth="1"/>
    <col min="3075" max="3075" width="9.6640625" style="399" customWidth="1"/>
    <col min="3076" max="3077" width="9.6640625" style="399" bestFit="1" customWidth="1"/>
    <col min="3078" max="3078" width="8.109375" style="399" bestFit="1" customWidth="1"/>
    <col min="3079" max="3083" width="9.33203125" style="399" bestFit="1" customWidth="1"/>
    <col min="3084" max="3084" width="10.6640625" style="399" bestFit="1" customWidth="1"/>
    <col min="3085" max="3086" width="10.6640625" style="399" customWidth="1"/>
    <col min="3087" max="3088" width="11.6640625" style="399" bestFit="1" customWidth="1"/>
    <col min="3089" max="3089" width="8.88671875" style="399"/>
    <col min="3090" max="3090" width="10.33203125" style="399" bestFit="1" customWidth="1"/>
    <col min="3091" max="3323" width="8.88671875" style="399"/>
    <col min="3324" max="3324" width="9.5546875" style="399" bestFit="1" customWidth="1"/>
    <col min="3325" max="3326" width="3.5546875" style="399" bestFit="1" customWidth="1"/>
    <col min="3327" max="3327" width="5.5546875" style="399" bestFit="1" customWidth="1"/>
    <col min="3328" max="3329" width="10.6640625" style="399" bestFit="1" customWidth="1"/>
    <col min="3330" max="3330" width="9.6640625" style="399" bestFit="1" customWidth="1"/>
    <col min="3331" max="3331" width="9.6640625" style="399" customWidth="1"/>
    <col min="3332" max="3333" width="9.6640625" style="399" bestFit="1" customWidth="1"/>
    <col min="3334" max="3334" width="8.109375" style="399" bestFit="1" customWidth="1"/>
    <col min="3335" max="3339" width="9.33203125" style="399" bestFit="1" customWidth="1"/>
    <col min="3340" max="3340" width="10.6640625" style="399" bestFit="1" customWidth="1"/>
    <col min="3341" max="3342" width="10.6640625" style="399" customWidth="1"/>
    <col min="3343" max="3344" width="11.6640625" style="399" bestFit="1" customWidth="1"/>
    <col min="3345" max="3345" width="8.88671875" style="399"/>
    <col min="3346" max="3346" width="10.33203125" style="399" bestFit="1" customWidth="1"/>
    <col min="3347" max="3579" width="8.88671875" style="399"/>
    <col min="3580" max="3580" width="9.5546875" style="399" bestFit="1" customWidth="1"/>
    <col min="3581" max="3582" width="3.5546875" style="399" bestFit="1" customWidth="1"/>
    <col min="3583" max="3583" width="5.5546875" style="399" bestFit="1" customWidth="1"/>
    <col min="3584" max="3585" width="10.6640625" style="399" bestFit="1" customWidth="1"/>
    <col min="3586" max="3586" width="9.6640625" style="399" bestFit="1" customWidth="1"/>
    <col min="3587" max="3587" width="9.6640625" style="399" customWidth="1"/>
    <col min="3588" max="3589" width="9.6640625" style="399" bestFit="1" customWidth="1"/>
    <col min="3590" max="3590" width="8.109375" style="399" bestFit="1" customWidth="1"/>
    <col min="3591" max="3595" width="9.33203125" style="399" bestFit="1" customWidth="1"/>
    <col min="3596" max="3596" width="10.6640625" style="399" bestFit="1" customWidth="1"/>
    <col min="3597" max="3598" width="10.6640625" style="399" customWidth="1"/>
    <col min="3599" max="3600" width="11.6640625" style="399" bestFit="1" customWidth="1"/>
    <col min="3601" max="3601" width="8.88671875" style="399"/>
    <col min="3602" max="3602" width="10.33203125" style="399" bestFit="1" customWidth="1"/>
    <col min="3603" max="3835" width="8.88671875" style="399"/>
    <col min="3836" max="3836" width="9.5546875" style="399" bestFit="1" customWidth="1"/>
    <col min="3837" max="3838" width="3.5546875" style="399" bestFit="1" customWidth="1"/>
    <col min="3839" max="3839" width="5.5546875" style="399" bestFit="1" customWidth="1"/>
    <col min="3840" max="3841" width="10.6640625" style="399" bestFit="1" customWidth="1"/>
    <col min="3842" max="3842" width="9.6640625" style="399" bestFit="1" customWidth="1"/>
    <col min="3843" max="3843" width="9.6640625" style="399" customWidth="1"/>
    <col min="3844" max="3845" width="9.6640625" style="399" bestFit="1" customWidth="1"/>
    <col min="3846" max="3846" width="8.109375" style="399" bestFit="1" customWidth="1"/>
    <col min="3847" max="3851" width="9.33203125" style="399" bestFit="1" customWidth="1"/>
    <col min="3852" max="3852" width="10.6640625" style="399" bestFit="1" customWidth="1"/>
    <col min="3853" max="3854" width="10.6640625" style="399" customWidth="1"/>
    <col min="3855" max="3856" width="11.6640625" style="399" bestFit="1" customWidth="1"/>
    <col min="3857" max="3857" width="8.88671875" style="399"/>
    <col min="3858" max="3858" width="10.33203125" style="399" bestFit="1" customWidth="1"/>
    <col min="3859" max="4091" width="8.88671875" style="399"/>
    <col min="4092" max="4092" width="9.5546875" style="399" bestFit="1" customWidth="1"/>
    <col min="4093" max="4094" width="3.5546875" style="399" bestFit="1" customWidth="1"/>
    <col min="4095" max="4095" width="5.5546875" style="399" bestFit="1" customWidth="1"/>
    <col min="4096" max="4097" width="10.6640625" style="399" bestFit="1" customWidth="1"/>
    <col min="4098" max="4098" width="9.6640625" style="399" bestFit="1" customWidth="1"/>
    <col min="4099" max="4099" width="9.6640625" style="399" customWidth="1"/>
    <col min="4100" max="4101" width="9.6640625" style="399" bestFit="1" customWidth="1"/>
    <col min="4102" max="4102" width="8.109375" style="399" bestFit="1" customWidth="1"/>
    <col min="4103" max="4107" width="9.33203125" style="399" bestFit="1" customWidth="1"/>
    <col min="4108" max="4108" width="10.6640625" style="399" bestFit="1" customWidth="1"/>
    <col min="4109" max="4110" width="10.6640625" style="399" customWidth="1"/>
    <col min="4111" max="4112" width="11.6640625" style="399" bestFit="1" customWidth="1"/>
    <col min="4113" max="4113" width="8.88671875" style="399"/>
    <col min="4114" max="4114" width="10.33203125" style="399" bestFit="1" customWidth="1"/>
    <col min="4115" max="4347" width="8.88671875" style="399"/>
    <col min="4348" max="4348" width="9.5546875" style="399" bestFit="1" customWidth="1"/>
    <col min="4349" max="4350" width="3.5546875" style="399" bestFit="1" customWidth="1"/>
    <col min="4351" max="4351" width="5.5546875" style="399" bestFit="1" customWidth="1"/>
    <col min="4352" max="4353" width="10.6640625" style="399" bestFit="1" customWidth="1"/>
    <col min="4354" max="4354" width="9.6640625" style="399" bestFit="1" customWidth="1"/>
    <col min="4355" max="4355" width="9.6640625" style="399" customWidth="1"/>
    <col min="4356" max="4357" width="9.6640625" style="399" bestFit="1" customWidth="1"/>
    <col min="4358" max="4358" width="8.109375" style="399" bestFit="1" customWidth="1"/>
    <col min="4359" max="4363" width="9.33203125" style="399" bestFit="1" customWidth="1"/>
    <col min="4364" max="4364" width="10.6640625" style="399" bestFit="1" customWidth="1"/>
    <col min="4365" max="4366" width="10.6640625" style="399" customWidth="1"/>
    <col min="4367" max="4368" width="11.6640625" style="399" bestFit="1" customWidth="1"/>
    <col min="4369" max="4369" width="8.88671875" style="399"/>
    <col min="4370" max="4370" width="10.33203125" style="399" bestFit="1" customWidth="1"/>
    <col min="4371" max="4603" width="8.88671875" style="399"/>
    <col min="4604" max="4604" width="9.5546875" style="399" bestFit="1" customWidth="1"/>
    <col min="4605" max="4606" width="3.5546875" style="399" bestFit="1" customWidth="1"/>
    <col min="4607" max="4607" width="5.5546875" style="399" bestFit="1" customWidth="1"/>
    <col min="4608" max="4609" width="10.6640625" style="399" bestFit="1" customWidth="1"/>
    <col min="4610" max="4610" width="9.6640625" style="399" bestFit="1" customWidth="1"/>
    <col min="4611" max="4611" width="9.6640625" style="399" customWidth="1"/>
    <col min="4612" max="4613" width="9.6640625" style="399" bestFit="1" customWidth="1"/>
    <col min="4614" max="4614" width="8.109375" style="399" bestFit="1" customWidth="1"/>
    <col min="4615" max="4619" width="9.33203125" style="399" bestFit="1" customWidth="1"/>
    <col min="4620" max="4620" width="10.6640625" style="399" bestFit="1" customWidth="1"/>
    <col min="4621" max="4622" width="10.6640625" style="399" customWidth="1"/>
    <col min="4623" max="4624" width="11.6640625" style="399" bestFit="1" customWidth="1"/>
    <col min="4625" max="4625" width="8.88671875" style="399"/>
    <col min="4626" max="4626" width="10.33203125" style="399" bestFit="1" customWidth="1"/>
    <col min="4627" max="4859" width="8.88671875" style="399"/>
    <col min="4860" max="4860" width="9.5546875" style="399" bestFit="1" customWidth="1"/>
    <col min="4861" max="4862" width="3.5546875" style="399" bestFit="1" customWidth="1"/>
    <col min="4863" max="4863" width="5.5546875" style="399" bestFit="1" customWidth="1"/>
    <col min="4864" max="4865" width="10.6640625" style="399" bestFit="1" customWidth="1"/>
    <col min="4866" max="4866" width="9.6640625" style="399" bestFit="1" customWidth="1"/>
    <col min="4867" max="4867" width="9.6640625" style="399" customWidth="1"/>
    <col min="4868" max="4869" width="9.6640625" style="399" bestFit="1" customWidth="1"/>
    <col min="4870" max="4870" width="8.109375" style="399" bestFit="1" customWidth="1"/>
    <col min="4871" max="4875" width="9.33203125" style="399" bestFit="1" customWidth="1"/>
    <col min="4876" max="4876" width="10.6640625" style="399" bestFit="1" customWidth="1"/>
    <col min="4877" max="4878" width="10.6640625" style="399" customWidth="1"/>
    <col min="4879" max="4880" width="11.6640625" style="399" bestFit="1" customWidth="1"/>
    <col min="4881" max="4881" width="8.88671875" style="399"/>
    <col min="4882" max="4882" width="10.33203125" style="399" bestFit="1" customWidth="1"/>
    <col min="4883" max="5115" width="8.88671875" style="399"/>
    <col min="5116" max="5116" width="9.5546875" style="399" bestFit="1" customWidth="1"/>
    <col min="5117" max="5118" width="3.5546875" style="399" bestFit="1" customWidth="1"/>
    <col min="5119" max="5119" width="5.5546875" style="399" bestFit="1" customWidth="1"/>
    <col min="5120" max="5121" width="10.6640625" style="399" bestFit="1" customWidth="1"/>
    <col min="5122" max="5122" width="9.6640625" style="399" bestFit="1" customWidth="1"/>
    <col min="5123" max="5123" width="9.6640625" style="399" customWidth="1"/>
    <col min="5124" max="5125" width="9.6640625" style="399" bestFit="1" customWidth="1"/>
    <col min="5126" max="5126" width="8.109375" style="399" bestFit="1" customWidth="1"/>
    <col min="5127" max="5131" width="9.33203125" style="399" bestFit="1" customWidth="1"/>
    <col min="5132" max="5132" width="10.6640625" style="399" bestFit="1" customWidth="1"/>
    <col min="5133" max="5134" width="10.6640625" style="399" customWidth="1"/>
    <col min="5135" max="5136" width="11.6640625" style="399" bestFit="1" customWidth="1"/>
    <col min="5137" max="5137" width="8.88671875" style="399"/>
    <col min="5138" max="5138" width="10.33203125" style="399" bestFit="1" customWidth="1"/>
    <col min="5139" max="5371" width="8.88671875" style="399"/>
    <col min="5372" max="5372" width="9.5546875" style="399" bestFit="1" customWidth="1"/>
    <col min="5373" max="5374" width="3.5546875" style="399" bestFit="1" customWidth="1"/>
    <col min="5375" max="5375" width="5.5546875" style="399" bestFit="1" customWidth="1"/>
    <col min="5376" max="5377" width="10.6640625" style="399" bestFit="1" customWidth="1"/>
    <col min="5378" max="5378" width="9.6640625" style="399" bestFit="1" customWidth="1"/>
    <col min="5379" max="5379" width="9.6640625" style="399" customWidth="1"/>
    <col min="5380" max="5381" width="9.6640625" style="399" bestFit="1" customWidth="1"/>
    <col min="5382" max="5382" width="8.109375" style="399" bestFit="1" customWidth="1"/>
    <col min="5383" max="5387" width="9.33203125" style="399" bestFit="1" customWidth="1"/>
    <col min="5388" max="5388" width="10.6640625" style="399" bestFit="1" customWidth="1"/>
    <col min="5389" max="5390" width="10.6640625" style="399" customWidth="1"/>
    <col min="5391" max="5392" width="11.6640625" style="399" bestFit="1" customWidth="1"/>
    <col min="5393" max="5393" width="8.88671875" style="399"/>
    <col min="5394" max="5394" width="10.33203125" style="399" bestFit="1" customWidth="1"/>
    <col min="5395" max="5627" width="8.88671875" style="399"/>
    <col min="5628" max="5628" width="9.5546875" style="399" bestFit="1" customWidth="1"/>
    <col min="5629" max="5630" width="3.5546875" style="399" bestFit="1" customWidth="1"/>
    <col min="5631" max="5631" width="5.5546875" style="399" bestFit="1" customWidth="1"/>
    <col min="5632" max="5633" width="10.6640625" style="399" bestFit="1" customWidth="1"/>
    <col min="5634" max="5634" width="9.6640625" style="399" bestFit="1" customWidth="1"/>
    <col min="5635" max="5635" width="9.6640625" style="399" customWidth="1"/>
    <col min="5636" max="5637" width="9.6640625" style="399" bestFit="1" customWidth="1"/>
    <col min="5638" max="5638" width="8.109375" style="399" bestFit="1" customWidth="1"/>
    <col min="5639" max="5643" width="9.33203125" style="399" bestFit="1" customWidth="1"/>
    <col min="5644" max="5644" width="10.6640625" style="399" bestFit="1" customWidth="1"/>
    <col min="5645" max="5646" width="10.6640625" style="399" customWidth="1"/>
    <col min="5647" max="5648" width="11.6640625" style="399" bestFit="1" customWidth="1"/>
    <col min="5649" max="5649" width="8.88671875" style="399"/>
    <col min="5650" max="5650" width="10.33203125" style="399" bestFit="1" customWidth="1"/>
    <col min="5651" max="5883" width="8.88671875" style="399"/>
    <col min="5884" max="5884" width="9.5546875" style="399" bestFit="1" customWidth="1"/>
    <col min="5885" max="5886" width="3.5546875" style="399" bestFit="1" customWidth="1"/>
    <col min="5887" max="5887" width="5.5546875" style="399" bestFit="1" customWidth="1"/>
    <col min="5888" max="5889" width="10.6640625" style="399" bestFit="1" customWidth="1"/>
    <col min="5890" max="5890" width="9.6640625" style="399" bestFit="1" customWidth="1"/>
    <col min="5891" max="5891" width="9.6640625" style="399" customWidth="1"/>
    <col min="5892" max="5893" width="9.6640625" style="399" bestFit="1" customWidth="1"/>
    <col min="5894" max="5894" width="8.109375" style="399" bestFit="1" customWidth="1"/>
    <col min="5895" max="5899" width="9.33203125" style="399" bestFit="1" customWidth="1"/>
    <col min="5900" max="5900" width="10.6640625" style="399" bestFit="1" customWidth="1"/>
    <col min="5901" max="5902" width="10.6640625" style="399" customWidth="1"/>
    <col min="5903" max="5904" width="11.6640625" style="399" bestFit="1" customWidth="1"/>
    <col min="5905" max="5905" width="8.88671875" style="399"/>
    <col min="5906" max="5906" width="10.33203125" style="399" bestFit="1" customWidth="1"/>
    <col min="5907" max="6139" width="8.88671875" style="399"/>
    <col min="6140" max="6140" width="9.5546875" style="399" bestFit="1" customWidth="1"/>
    <col min="6141" max="6142" width="3.5546875" style="399" bestFit="1" customWidth="1"/>
    <col min="6143" max="6143" width="5.5546875" style="399" bestFit="1" customWidth="1"/>
    <col min="6144" max="6145" width="10.6640625" style="399" bestFit="1" customWidth="1"/>
    <col min="6146" max="6146" width="9.6640625" style="399" bestFit="1" customWidth="1"/>
    <col min="6147" max="6147" width="9.6640625" style="399" customWidth="1"/>
    <col min="6148" max="6149" width="9.6640625" style="399" bestFit="1" customWidth="1"/>
    <col min="6150" max="6150" width="8.109375" style="399" bestFit="1" customWidth="1"/>
    <col min="6151" max="6155" width="9.33203125" style="399" bestFit="1" customWidth="1"/>
    <col min="6156" max="6156" width="10.6640625" style="399" bestFit="1" customWidth="1"/>
    <col min="6157" max="6158" width="10.6640625" style="399" customWidth="1"/>
    <col min="6159" max="6160" width="11.6640625" style="399" bestFit="1" customWidth="1"/>
    <col min="6161" max="6161" width="8.88671875" style="399"/>
    <col min="6162" max="6162" width="10.33203125" style="399" bestFit="1" customWidth="1"/>
    <col min="6163" max="6395" width="8.88671875" style="399"/>
    <col min="6396" max="6396" width="9.5546875" style="399" bestFit="1" customWidth="1"/>
    <col min="6397" max="6398" width="3.5546875" style="399" bestFit="1" customWidth="1"/>
    <col min="6399" max="6399" width="5.5546875" style="399" bestFit="1" customWidth="1"/>
    <col min="6400" max="6401" width="10.6640625" style="399" bestFit="1" customWidth="1"/>
    <col min="6402" max="6402" width="9.6640625" style="399" bestFit="1" customWidth="1"/>
    <col min="6403" max="6403" width="9.6640625" style="399" customWidth="1"/>
    <col min="6404" max="6405" width="9.6640625" style="399" bestFit="1" customWidth="1"/>
    <col min="6406" max="6406" width="8.109375" style="399" bestFit="1" customWidth="1"/>
    <col min="6407" max="6411" width="9.33203125" style="399" bestFit="1" customWidth="1"/>
    <col min="6412" max="6412" width="10.6640625" style="399" bestFit="1" customWidth="1"/>
    <col min="6413" max="6414" width="10.6640625" style="399" customWidth="1"/>
    <col min="6415" max="6416" width="11.6640625" style="399" bestFit="1" customWidth="1"/>
    <col min="6417" max="6417" width="8.88671875" style="399"/>
    <col min="6418" max="6418" width="10.33203125" style="399" bestFit="1" customWidth="1"/>
    <col min="6419" max="6651" width="8.88671875" style="399"/>
    <col min="6652" max="6652" width="9.5546875" style="399" bestFit="1" customWidth="1"/>
    <col min="6653" max="6654" width="3.5546875" style="399" bestFit="1" customWidth="1"/>
    <col min="6655" max="6655" width="5.5546875" style="399" bestFit="1" customWidth="1"/>
    <col min="6656" max="6657" width="10.6640625" style="399" bestFit="1" customWidth="1"/>
    <col min="6658" max="6658" width="9.6640625" style="399" bestFit="1" customWidth="1"/>
    <col min="6659" max="6659" width="9.6640625" style="399" customWidth="1"/>
    <col min="6660" max="6661" width="9.6640625" style="399" bestFit="1" customWidth="1"/>
    <col min="6662" max="6662" width="8.109375" style="399" bestFit="1" customWidth="1"/>
    <col min="6663" max="6667" width="9.33203125" style="399" bestFit="1" customWidth="1"/>
    <col min="6668" max="6668" width="10.6640625" style="399" bestFit="1" customWidth="1"/>
    <col min="6669" max="6670" width="10.6640625" style="399" customWidth="1"/>
    <col min="6671" max="6672" width="11.6640625" style="399" bestFit="1" customWidth="1"/>
    <col min="6673" max="6673" width="8.88671875" style="399"/>
    <col min="6674" max="6674" width="10.33203125" style="399" bestFit="1" customWidth="1"/>
    <col min="6675" max="6907" width="8.88671875" style="399"/>
    <col min="6908" max="6908" width="9.5546875" style="399" bestFit="1" customWidth="1"/>
    <col min="6909" max="6910" width="3.5546875" style="399" bestFit="1" customWidth="1"/>
    <col min="6911" max="6911" width="5.5546875" style="399" bestFit="1" customWidth="1"/>
    <col min="6912" max="6913" width="10.6640625" style="399" bestFit="1" customWidth="1"/>
    <col min="6914" max="6914" width="9.6640625" style="399" bestFit="1" customWidth="1"/>
    <col min="6915" max="6915" width="9.6640625" style="399" customWidth="1"/>
    <col min="6916" max="6917" width="9.6640625" style="399" bestFit="1" customWidth="1"/>
    <col min="6918" max="6918" width="8.109375" style="399" bestFit="1" customWidth="1"/>
    <col min="6919" max="6923" width="9.33203125" style="399" bestFit="1" customWidth="1"/>
    <col min="6924" max="6924" width="10.6640625" style="399" bestFit="1" customWidth="1"/>
    <col min="6925" max="6926" width="10.6640625" style="399" customWidth="1"/>
    <col min="6927" max="6928" width="11.6640625" style="399" bestFit="1" customWidth="1"/>
    <col min="6929" max="6929" width="8.88671875" style="399"/>
    <col min="6930" max="6930" width="10.33203125" style="399" bestFit="1" customWidth="1"/>
    <col min="6931" max="7163" width="8.88671875" style="399"/>
    <col min="7164" max="7164" width="9.5546875" style="399" bestFit="1" customWidth="1"/>
    <col min="7165" max="7166" width="3.5546875" style="399" bestFit="1" customWidth="1"/>
    <col min="7167" max="7167" width="5.5546875" style="399" bestFit="1" customWidth="1"/>
    <col min="7168" max="7169" width="10.6640625" style="399" bestFit="1" customWidth="1"/>
    <col min="7170" max="7170" width="9.6640625" style="399" bestFit="1" customWidth="1"/>
    <col min="7171" max="7171" width="9.6640625" style="399" customWidth="1"/>
    <col min="7172" max="7173" width="9.6640625" style="399" bestFit="1" customWidth="1"/>
    <col min="7174" max="7174" width="8.109375" style="399" bestFit="1" customWidth="1"/>
    <col min="7175" max="7179" width="9.33203125" style="399" bestFit="1" customWidth="1"/>
    <col min="7180" max="7180" width="10.6640625" style="399" bestFit="1" customWidth="1"/>
    <col min="7181" max="7182" width="10.6640625" style="399" customWidth="1"/>
    <col min="7183" max="7184" width="11.6640625" style="399" bestFit="1" customWidth="1"/>
    <col min="7185" max="7185" width="8.88671875" style="399"/>
    <col min="7186" max="7186" width="10.33203125" style="399" bestFit="1" customWidth="1"/>
    <col min="7187" max="7419" width="8.88671875" style="399"/>
    <col min="7420" max="7420" width="9.5546875" style="399" bestFit="1" customWidth="1"/>
    <col min="7421" max="7422" width="3.5546875" style="399" bestFit="1" customWidth="1"/>
    <col min="7423" max="7423" width="5.5546875" style="399" bestFit="1" customWidth="1"/>
    <col min="7424" max="7425" width="10.6640625" style="399" bestFit="1" customWidth="1"/>
    <col min="7426" max="7426" width="9.6640625" style="399" bestFit="1" customWidth="1"/>
    <col min="7427" max="7427" width="9.6640625" style="399" customWidth="1"/>
    <col min="7428" max="7429" width="9.6640625" style="399" bestFit="1" customWidth="1"/>
    <col min="7430" max="7430" width="8.109375" style="399" bestFit="1" customWidth="1"/>
    <col min="7431" max="7435" width="9.33203125" style="399" bestFit="1" customWidth="1"/>
    <col min="7436" max="7436" width="10.6640625" style="399" bestFit="1" customWidth="1"/>
    <col min="7437" max="7438" width="10.6640625" style="399" customWidth="1"/>
    <col min="7439" max="7440" width="11.6640625" style="399" bestFit="1" customWidth="1"/>
    <col min="7441" max="7441" width="8.88671875" style="399"/>
    <col min="7442" max="7442" width="10.33203125" style="399" bestFit="1" customWidth="1"/>
    <col min="7443" max="7675" width="8.88671875" style="399"/>
    <col min="7676" max="7676" width="9.5546875" style="399" bestFit="1" customWidth="1"/>
    <col min="7677" max="7678" width="3.5546875" style="399" bestFit="1" customWidth="1"/>
    <col min="7679" max="7679" width="5.5546875" style="399" bestFit="1" customWidth="1"/>
    <col min="7680" max="7681" width="10.6640625" style="399" bestFit="1" customWidth="1"/>
    <col min="7682" max="7682" width="9.6640625" style="399" bestFit="1" customWidth="1"/>
    <col min="7683" max="7683" width="9.6640625" style="399" customWidth="1"/>
    <col min="7684" max="7685" width="9.6640625" style="399" bestFit="1" customWidth="1"/>
    <col min="7686" max="7686" width="8.109375" style="399" bestFit="1" customWidth="1"/>
    <col min="7687" max="7691" width="9.33203125" style="399" bestFit="1" customWidth="1"/>
    <col min="7692" max="7692" width="10.6640625" style="399" bestFit="1" customWidth="1"/>
    <col min="7693" max="7694" width="10.6640625" style="399" customWidth="1"/>
    <col min="7695" max="7696" width="11.6640625" style="399" bestFit="1" customWidth="1"/>
    <col min="7697" max="7697" width="8.88671875" style="399"/>
    <col min="7698" max="7698" width="10.33203125" style="399" bestFit="1" customWidth="1"/>
    <col min="7699" max="7931" width="8.88671875" style="399"/>
    <col min="7932" max="7932" width="9.5546875" style="399" bestFit="1" customWidth="1"/>
    <col min="7933" max="7934" width="3.5546875" style="399" bestFit="1" customWidth="1"/>
    <col min="7935" max="7935" width="5.5546875" style="399" bestFit="1" customWidth="1"/>
    <col min="7936" max="7937" width="10.6640625" style="399" bestFit="1" customWidth="1"/>
    <col min="7938" max="7938" width="9.6640625" style="399" bestFit="1" customWidth="1"/>
    <col min="7939" max="7939" width="9.6640625" style="399" customWidth="1"/>
    <col min="7940" max="7941" width="9.6640625" style="399" bestFit="1" customWidth="1"/>
    <col min="7942" max="7942" width="8.109375" style="399" bestFit="1" customWidth="1"/>
    <col min="7943" max="7947" width="9.33203125" style="399" bestFit="1" customWidth="1"/>
    <col min="7948" max="7948" width="10.6640625" style="399" bestFit="1" customWidth="1"/>
    <col min="7949" max="7950" width="10.6640625" style="399" customWidth="1"/>
    <col min="7951" max="7952" width="11.6640625" style="399" bestFit="1" customWidth="1"/>
    <col min="7953" max="7953" width="8.88671875" style="399"/>
    <col min="7954" max="7954" width="10.33203125" style="399" bestFit="1" customWidth="1"/>
    <col min="7955" max="8187" width="8.88671875" style="399"/>
    <col min="8188" max="8188" width="9.5546875" style="399" bestFit="1" customWidth="1"/>
    <col min="8189" max="8190" width="3.5546875" style="399" bestFit="1" customWidth="1"/>
    <col min="8191" max="8191" width="5.5546875" style="399" bestFit="1" customWidth="1"/>
    <col min="8192" max="8193" width="10.6640625" style="399" bestFit="1" customWidth="1"/>
    <col min="8194" max="8194" width="9.6640625" style="399" bestFit="1" customWidth="1"/>
    <col min="8195" max="8195" width="9.6640625" style="399" customWidth="1"/>
    <col min="8196" max="8197" width="9.6640625" style="399" bestFit="1" customWidth="1"/>
    <col min="8198" max="8198" width="8.109375" style="399" bestFit="1" customWidth="1"/>
    <col min="8199" max="8203" width="9.33203125" style="399" bestFit="1" customWidth="1"/>
    <col min="8204" max="8204" width="10.6640625" style="399" bestFit="1" customWidth="1"/>
    <col min="8205" max="8206" width="10.6640625" style="399" customWidth="1"/>
    <col min="8207" max="8208" width="11.6640625" style="399" bestFit="1" customWidth="1"/>
    <col min="8209" max="8209" width="8.88671875" style="399"/>
    <col min="8210" max="8210" width="10.33203125" style="399" bestFit="1" customWidth="1"/>
    <col min="8211" max="8443" width="8.88671875" style="399"/>
    <col min="8444" max="8444" width="9.5546875" style="399" bestFit="1" customWidth="1"/>
    <col min="8445" max="8446" width="3.5546875" style="399" bestFit="1" customWidth="1"/>
    <col min="8447" max="8447" width="5.5546875" style="399" bestFit="1" customWidth="1"/>
    <col min="8448" max="8449" width="10.6640625" style="399" bestFit="1" customWidth="1"/>
    <col min="8450" max="8450" width="9.6640625" style="399" bestFit="1" customWidth="1"/>
    <col min="8451" max="8451" width="9.6640625" style="399" customWidth="1"/>
    <col min="8452" max="8453" width="9.6640625" style="399" bestFit="1" customWidth="1"/>
    <col min="8454" max="8454" width="8.109375" style="399" bestFit="1" customWidth="1"/>
    <col min="8455" max="8459" width="9.33203125" style="399" bestFit="1" customWidth="1"/>
    <col min="8460" max="8460" width="10.6640625" style="399" bestFit="1" customWidth="1"/>
    <col min="8461" max="8462" width="10.6640625" style="399" customWidth="1"/>
    <col min="8463" max="8464" width="11.6640625" style="399" bestFit="1" customWidth="1"/>
    <col min="8465" max="8465" width="8.88671875" style="399"/>
    <col min="8466" max="8466" width="10.33203125" style="399" bestFit="1" customWidth="1"/>
    <col min="8467" max="8699" width="8.88671875" style="399"/>
    <col min="8700" max="8700" width="9.5546875" style="399" bestFit="1" customWidth="1"/>
    <col min="8701" max="8702" width="3.5546875" style="399" bestFit="1" customWidth="1"/>
    <col min="8703" max="8703" width="5.5546875" style="399" bestFit="1" customWidth="1"/>
    <col min="8704" max="8705" width="10.6640625" style="399" bestFit="1" customWidth="1"/>
    <col min="8706" max="8706" width="9.6640625" style="399" bestFit="1" customWidth="1"/>
    <col min="8707" max="8707" width="9.6640625" style="399" customWidth="1"/>
    <col min="8708" max="8709" width="9.6640625" style="399" bestFit="1" customWidth="1"/>
    <col min="8710" max="8710" width="8.109375" style="399" bestFit="1" customWidth="1"/>
    <col min="8711" max="8715" width="9.33203125" style="399" bestFit="1" customWidth="1"/>
    <col min="8716" max="8716" width="10.6640625" style="399" bestFit="1" customWidth="1"/>
    <col min="8717" max="8718" width="10.6640625" style="399" customWidth="1"/>
    <col min="8719" max="8720" width="11.6640625" style="399" bestFit="1" customWidth="1"/>
    <col min="8721" max="8721" width="8.88671875" style="399"/>
    <col min="8722" max="8722" width="10.33203125" style="399" bestFit="1" customWidth="1"/>
    <col min="8723" max="8955" width="8.88671875" style="399"/>
    <col min="8956" max="8956" width="9.5546875" style="399" bestFit="1" customWidth="1"/>
    <col min="8957" max="8958" width="3.5546875" style="399" bestFit="1" customWidth="1"/>
    <col min="8959" max="8959" width="5.5546875" style="399" bestFit="1" customWidth="1"/>
    <col min="8960" max="8961" width="10.6640625" style="399" bestFit="1" customWidth="1"/>
    <col min="8962" max="8962" width="9.6640625" style="399" bestFit="1" customWidth="1"/>
    <col min="8963" max="8963" width="9.6640625" style="399" customWidth="1"/>
    <col min="8964" max="8965" width="9.6640625" style="399" bestFit="1" customWidth="1"/>
    <col min="8966" max="8966" width="8.109375" style="399" bestFit="1" customWidth="1"/>
    <col min="8967" max="8971" width="9.33203125" style="399" bestFit="1" customWidth="1"/>
    <col min="8972" max="8972" width="10.6640625" style="399" bestFit="1" customWidth="1"/>
    <col min="8973" max="8974" width="10.6640625" style="399" customWidth="1"/>
    <col min="8975" max="8976" width="11.6640625" style="399" bestFit="1" customWidth="1"/>
    <col min="8977" max="8977" width="8.88671875" style="399"/>
    <col min="8978" max="8978" width="10.33203125" style="399" bestFit="1" customWidth="1"/>
    <col min="8979" max="9211" width="8.88671875" style="399"/>
    <col min="9212" max="9212" width="9.5546875" style="399" bestFit="1" customWidth="1"/>
    <col min="9213" max="9214" width="3.5546875" style="399" bestFit="1" customWidth="1"/>
    <col min="9215" max="9215" width="5.5546875" style="399" bestFit="1" customWidth="1"/>
    <col min="9216" max="9217" width="10.6640625" style="399" bestFit="1" customWidth="1"/>
    <col min="9218" max="9218" width="9.6640625" style="399" bestFit="1" customWidth="1"/>
    <col min="9219" max="9219" width="9.6640625" style="399" customWidth="1"/>
    <col min="9220" max="9221" width="9.6640625" style="399" bestFit="1" customWidth="1"/>
    <col min="9222" max="9222" width="8.109375" style="399" bestFit="1" customWidth="1"/>
    <col min="9223" max="9227" width="9.33203125" style="399" bestFit="1" customWidth="1"/>
    <col min="9228" max="9228" width="10.6640625" style="399" bestFit="1" customWidth="1"/>
    <col min="9229" max="9230" width="10.6640625" style="399" customWidth="1"/>
    <col min="9231" max="9232" width="11.6640625" style="399" bestFit="1" customWidth="1"/>
    <col min="9233" max="9233" width="8.88671875" style="399"/>
    <col min="9234" max="9234" width="10.33203125" style="399" bestFit="1" customWidth="1"/>
    <col min="9235" max="9467" width="8.88671875" style="399"/>
    <col min="9468" max="9468" width="9.5546875" style="399" bestFit="1" customWidth="1"/>
    <col min="9469" max="9470" width="3.5546875" style="399" bestFit="1" customWidth="1"/>
    <col min="9471" max="9471" width="5.5546875" style="399" bestFit="1" customWidth="1"/>
    <col min="9472" max="9473" width="10.6640625" style="399" bestFit="1" customWidth="1"/>
    <col min="9474" max="9474" width="9.6640625" style="399" bestFit="1" customWidth="1"/>
    <col min="9475" max="9475" width="9.6640625" style="399" customWidth="1"/>
    <col min="9476" max="9477" width="9.6640625" style="399" bestFit="1" customWidth="1"/>
    <col min="9478" max="9478" width="8.109375" style="399" bestFit="1" customWidth="1"/>
    <col min="9479" max="9483" width="9.33203125" style="399" bestFit="1" customWidth="1"/>
    <col min="9484" max="9484" width="10.6640625" style="399" bestFit="1" customWidth="1"/>
    <col min="9485" max="9486" width="10.6640625" style="399" customWidth="1"/>
    <col min="9487" max="9488" width="11.6640625" style="399" bestFit="1" customWidth="1"/>
    <col min="9489" max="9489" width="8.88671875" style="399"/>
    <col min="9490" max="9490" width="10.33203125" style="399" bestFit="1" customWidth="1"/>
    <col min="9491" max="9723" width="8.88671875" style="399"/>
    <col min="9724" max="9724" width="9.5546875" style="399" bestFit="1" customWidth="1"/>
    <col min="9725" max="9726" width="3.5546875" style="399" bestFit="1" customWidth="1"/>
    <col min="9727" max="9727" width="5.5546875" style="399" bestFit="1" customWidth="1"/>
    <col min="9728" max="9729" width="10.6640625" style="399" bestFit="1" customWidth="1"/>
    <col min="9730" max="9730" width="9.6640625" style="399" bestFit="1" customWidth="1"/>
    <col min="9731" max="9731" width="9.6640625" style="399" customWidth="1"/>
    <col min="9732" max="9733" width="9.6640625" style="399" bestFit="1" customWidth="1"/>
    <col min="9734" max="9734" width="8.109375" style="399" bestFit="1" customWidth="1"/>
    <col min="9735" max="9739" width="9.33203125" style="399" bestFit="1" customWidth="1"/>
    <col min="9740" max="9740" width="10.6640625" style="399" bestFit="1" customWidth="1"/>
    <col min="9741" max="9742" width="10.6640625" style="399" customWidth="1"/>
    <col min="9743" max="9744" width="11.6640625" style="399" bestFit="1" customWidth="1"/>
    <col min="9745" max="9745" width="8.88671875" style="399"/>
    <col min="9746" max="9746" width="10.33203125" style="399" bestFit="1" customWidth="1"/>
    <col min="9747" max="9979" width="8.88671875" style="399"/>
    <col min="9980" max="9980" width="9.5546875" style="399" bestFit="1" customWidth="1"/>
    <col min="9981" max="9982" width="3.5546875" style="399" bestFit="1" customWidth="1"/>
    <col min="9983" max="9983" width="5.5546875" style="399" bestFit="1" customWidth="1"/>
    <col min="9984" max="9985" width="10.6640625" style="399" bestFit="1" customWidth="1"/>
    <col min="9986" max="9986" width="9.6640625" style="399" bestFit="1" customWidth="1"/>
    <col min="9987" max="9987" width="9.6640625" style="399" customWidth="1"/>
    <col min="9988" max="9989" width="9.6640625" style="399" bestFit="1" customWidth="1"/>
    <col min="9990" max="9990" width="8.109375" style="399" bestFit="1" customWidth="1"/>
    <col min="9991" max="9995" width="9.33203125" style="399" bestFit="1" customWidth="1"/>
    <col min="9996" max="9996" width="10.6640625" style="399" bestFit="1" customWidth="1"/>
    <col min="9997" max="9998" width="10.6640625" style="399" customWidth="1"/>
    <col min="9999" max="10000" width="11.6640625" style="399" bestFit="1" customWidth="1"/>
    <col min="10001" max="10001" width="8.88671875" style="399"/>
    <col min="10002" max="10002" width="10.33203125" style="399" bestFit="1" customWidth="1"/>
    <col min="10003" max="10235" width="8.88671875" style="399"/>
    <col min="10236" max="10236" width="9.5546875" style="399" bestFit="1" customWidth="1"/>
    <col min="10237" max="10238" width="3.5546875" style="399" bestFit="1" customWidth="1"/>
    <col min="10239" max="10239" width="5.5546875" style="399" bestFit="1" customWidth="1"/>
    <col min="10240" max="10241" width="10.6640625" style="399" bestFit="1" customWidth="1"/>
    <col min="10242" max="10242" width="9.6640625" style="399" bestFit="1" customWidth="1"/>
    <col min="10243" max="10243" width="9.6640625" style="399" customWidth="1"/>
    <col min="10244" max="10245" width="9.6640625" style="399" bestFit="1" customWidth="1"/>
    <col min="10246" max="10246" width="8.109375" style="399" bestFit="1" customWidth="1"/>
    <col min="10247" max="10251" width="9.33203125" style="399" bestFit="1" customWidth="1"/>
    <col min="10252" max="10252" width="10.6640625" style="399" bestFit="1" customWidth="1"/>
    <col min="10253" max="10254" width="10.6640625" style="399" customWidth="1"/>
    <col min="10255" max="10256" width="11.6640625" style="399" bestFit="1" customWidth="1"/>
    <col min="10257" max="10257" width="8.88671875" style="399"/>
    <col min="10258" max="10258" width="10.33203125" style="399" bestFit="1" customWidth="1"/>
    <col min="10259" max="10491" width="8.88671875" style="399"/>
    <col min="10492" max="10492" width="9.5546875" style="399" bestFit="1" customWidth="1"/>
    <col min="10493" max="10494" width="3.5546875" style="399" bestFit="1" customWidth="1"/>
    <col min="10495" max="10495" width="5.5546875" style="399" bestFit="1" customWidth="1"/>
    <col min="10496" max="10497" width="10.6640625" style="399" bestFit="1" customWidth="1"/>
    <col min="10498" max="10498" width="9.6640625" style="399" bestFit="1" customWidth="1"/>
    <col min="10499" max="10499" width="9.6640625" style="399" customWidth="1"/>
    <col min="10500" max="10501" width="9.6640625" style="399" bestFit="1" customWidth="1"/>
    <col min="10502" max="10502" width="8.109375" style="399" bestFit="1" customWidth="1"/>
    <col min="10503" max="10507" width="9.33203125" style="399" bestFit="1" customWidth="1"/>
    <col min="10508" max="10508" width="10.6640625" style="399" bestFit="1" customWidth="1"/>
    <col min="10509" max="10510" width="10.6640625" style="399" customWidth="1"/>
    <col min="10511" max="10512" width="11.6640625" style="399" bestFit="1" customWidth="1"/>
    <col min="10513" max="10513" width="8.88671875" style="399"/>
    <col min="10514" max="10514" width="10.33203125" style="399" bestFit="1" customWidth="1"/>
    <col min="10515" max="10747" width="8.88671875" style="399"/>
    <col min="10748" max="10748" width="9.5546875" style="399" bestFit="1" customWidth="1"/>
    <col min="10749" max="10750" width="3.5546875" style="399" bestFit="1" customWidth="1"/>
    <col min="10751" max="10751" width="5.5546875" style="399" bestFit="1" customWidth="1"/>
    <col min="10752" max="10753" width="10.6640625" style="399" bestFit="1" customWidth="1"/>
    <col min="10754" max="10754" width="9.6640625" style="399" bestFit="1" customWidth="1"/>
    <col min="10755" max="10755" width="9.6640625" style="399" customWidth="1"/>
    <col min="10756" max="10757" width="9.6640625" style="399" bestFit="1" customWidth="1"/>
    <col min="10758" max="10758" width="8.109375" style="399" bestFit="1" customWidth="1"/>
    <col min="10759" max="10763" width="9.33203125" style="399" bestFit="1" customWidth="1"/>
    <col min="10764" max="10764" width="10.6640625" style="399" bestFit="1" customWidth="1"/>
    <col min="10765" max="10766" width="10.6640625" style="399" customWidth="1"/>
    <col min="10767" max="10768" width="11.6640625" style="399" bestFit="1" customWidth="1"/>
    <col min="10769" max="10769" width="8.88671875" style="399"/>
    <col min="10770" max="10770" width="10.33203125" style="399" bestFit="1" customWidth="1"/>
    <col min="10771" max="11003" width="8.88671875" style="399"/>
    <col min="11004" max="11004" width="9.5546875" style="399" bestFit="1" customWidth="1"/>
    <col min="11005" max="11006" width="3.5546875" style="399" bestFit="1" customWidth="1"/>
    <col min="11007" max="11007" width="5.5546875" style="399" bestFit="1" customWidth="1"/>
    <col min="11008" max="11009" width="10.6640625" style="399" bestFit="1" customWidth="1"/>
    <col min="11010" max="11010" width="9.6640625" style="399" bestFit="1" customWidth="1"/>
    <col min="11011" max="11011" width="9.6640625" style="399" customWidth="1"/>
    <col min="11012" max="11013" width="9.6640625" style="399" bestFit="1" customWidth="1"/>
    <col min="11014" max="11014" width="8.109375" style="399" bestFit="1" customWidth="1"/>
    <col min="11015" max="11019" width="9.33203125" style="399" bestFit="1" customWidth="1"/>
    <col min="11020" max="11020" width="10.6640625" style="399" bestFit="1" customWidth="1"/>
    <col min="11021" max="11022" width="10.6640625" style="399" customWidth="1"/>
    <col min="11023" max="11024" width="11.6640625" style="399" bestFit="1" customWidth="1"/>
    <col min="11025" max="11025" width="8.88671875" style="399"/>
    <col min="11026" max="11026" width="10.33203125" style="399" bestFit="1" customWidth="1"/>
    <col min="11027" max="11259" width="8.88671875" style="399"/>
    <col min="11260" max="11260" width="9.5546875" style="399" bestFit="1" customWidth="1"/>
    <col min="11261" max="11262" width="3.5546875" style="399" bestFit="1" customWidth="1"/>
    <col min="11263" max="11263" width="5.5546875" style="399" bestFit="1" customWidth="1"/>
    <col min="11264" max="11265" width="10.6640625" style="399" bestFit="1" customWidth="1"/>
    <col min="11266" max="11266" width="9.6640625" style="399" bestFit="1" customWidth="1"/>
    <col min="11267" max="11267" width="9.6640625" style="399" customWidth="1"/>
    <col min="11268" max="11269" width="9.6640625" style="399" bestFit="1" customWidth="1"/>
    <col min="11270" max="11270" width="8.109375" style="399" bestFit="1" customWidth="1"/>
    <col min="11271" max="11275" width="9.33203125" style="399" bestFit="1" customWidth="1"/>
    <col min="11276" max="11276" width="10.6640625" style="399" bestFit="1" customWidth="1"/>
    <col min="11277" max="11278" width="10.6640625" style="399" customWidth="1"/>
    <col min="11279" max="11280" width="11.6640625" style="399" bestFit="1" customWidth="1"/>
    <col min="11281" max="11281" width="8.88671875" style="399"/>
    <col min="11282" max="11282" width="10.33203125" style="399" bestFit="1" customWidth="1"/>
    <col min="11283" max="11515" width="8.88671875" style="399"/>
    <col min="11516" max="11516" width="9.5546875" style="399" bestFit="1" customWidth="1"/>
    <col min="11517" max="11518" width="3.5546875" style="399" bestFit="1" customWidth="1"/>
    <col min="11519" max="11519" width="5.5546875" style="399" bestFit="1" customWidth="1"/>
    <col min="11520" max="11521" width="10.6640625" style="399" bestFit="1" customWidth="1"/>
    <col min="11522" max="11522" width="9.6640625" style="399" bestFit="1" customWidth="1"/>
    <col min="11523" max="11523" width="9.6640625" style="399" customWidth="1"/>
    <col min="11524" max="11525" width="9.6640625" style="399" bestFit="1" customWidth="1"/>
    <col min="11526" max="11526" width="8.109375" style="399" bestFit="1" customWidth="1"/>
    <col min="11527" max="11531" width="9.33203125" style="399" bestFit="1" customWidth="1"/>
    <col min="11532" max="11532" width="10.6640625" style="399" bestFit="1" customWidth="1"/>
    <col min="11533" max="11534" width="10.6640625" style="399" customWidth="1"/>
    <col min="11535" max="11536" width="11.6640625" style="399" bestFit="1" customWidth="1"/>
    <col min="11537" max="11537" width="8.88671875" style="399"/>
    <col min="11538" max="11538" width="10.33203125" style="399" bestFit="1" customWidth="1"/>
    <col min="11539" max="11771" width="8.88671875" style="399"/>
    <col min="11772" max="11772" width="9.5546875" style="399" bestFit="1" customWidth="1"/>
    <col min="11773" max="11774" width="3.5546875" style="399" bestFit="1" customWidth="1"/>
    <col min="11775" max="11775" width="5.5546875" style="399" bestFit="1" customWidth="1"/>
    <col min="11776" max="11777" width="10.6640625" style="399" bestFit="1" customWidth="1"/>
    <col min="11778" max="11778" width="9.6640625" style="399" bestFit="1" customWidth="1"/>
    <col min="11779" max="11779" width="9.6640625" style="399" customWidth="1"/>
    <col min="11780" max="11781" width="9.6640625" style="399" bestFit="1" customWidth="1"/>
    <col min="11782" max="11782" width="8.109375" style="399" bestFit="1" customWidth="1"/>
    <col min="11783" max="11787" width="9.33203125" style="399" bestFit="1" customWidth="1"/>
    <col min="11788" max="11788" width="10.6640625" style="399" bestFit="1" customWidth="1"/>
    <col min="11789" max="11790" width="10.6640625" style="399" customWidth="1"/>
    <col min="11791" max="11792" width="11.6640625" style="399" bestFit="1" customWidth="1"/>
    <col min="11793" max="11793" width="8.88671875" style="399"/>
    <col min="11794" max="11794" width="10.33203125" style="399" bestFit="1" customWidth="1"/>
    <col min="11795" max="12027" width="8.88671875" style="399"/>
    <col min="12028" max="12028" width="9.5546875" style="399" bestFit="1" customWidth="1"/>
    <col min="12029" max="12030" width="3.5546875" style="399" bestFit="1" customWidth="1"/>
    <col min="12031" max="12031" width="5.5546875" style="399" bestFit="1" customWidth="1"/>
    <col min="12032" max="12033" width="10.6640625" style="399" bestFit="1" customWidth="1"/>
    <col min="12034" max="12034" width="9.6640625" style="399" bestFit="1" customWidth="1"/>
    <col min="12035" max="12035" width="9.6640625" style="399" customWidth="1"/>
    <col min="12036" max="12037" width="9.6640625" style="399" bestFit="1" customWidth="1"/>
    <col min="12038" max="12038" width="8.109375" style="399" bestFit="1" customWidth="1"/>
    <col min="12039" max="12043" width="9.33203125" style="399" bestFit="1" customWidth="1"/>
    <col min="12044" max="12044" width="10.6640625" style="399" bestFit="1" customWidth="1"/>
    <col min="12045" max="12046" width="10.6640625" style="399" customWidth="1"/>
    <col min="12047" max="12048" width="11.6640625" style="399" bestFit="1" customWidth="1"/>
    <col min="12049" max="12049" width="8.88671875" style="399"/>
    <col min="12050" max="12050" width="10.33203125" style="399" bestFit="1" customWidth="1"/>
    <col min="12051" max="12283" width="8.88671875" style="399"/>
    <col min="12284" max="12284" width="9.5546875" style="399" bestFit="1" customWidth="1"/>
    <col min="12285" max="12286" width="3.5546875" style="399" bestFit="1" customWidth="1"/>
    <col min="12287" max="12287" width="5.5546875" style="399" bestFit="1" customWidth="1"/>
    <col min="12288" max="12289" width="10.6640625" style="399" bestFit="1" customWidth="1"/>
    <col min="12290" max="12290" width="9.6640625" style="399" bestFit="1" customWidth="1"/>
    <col min="12291" max="12291" width="9.6640625" style="399" customWidth="1"/>
    <col min="12292" max="12293" width="9.6640625" style="399" bestFit="1" customWidth="1"/>
    <col min="12294" max="12294" width="8.109375" style="399" bestFit="1" customWidth="1"/>
    <col min="12295" max="12299" width="9.33203125" style="399" bestFit="1" customWidth="1"/>
    <col min="12300" max="12300" width="10.6640625" style="399" bestFit="1" customWidth="1"/>
    <col min="12301" max="12302" width="10.6640625" style="399" customWidth="1"/>
    <col min="12303" max="12304" width="11.6640625" style="399" bestFit="1" customWidth="1"/>
    <col min="12305" max="12305" width="8.88671875" style="399"/>
    <col min="12306" max="12306" width="10.33203125" style="399" bestFit="1" customWidth="1"/>
    <col min="12307" max="12539" width="8.88671875" style="399"/>
    <col min="12540" max="12540" width="9.5546875" style="399" bestFit="1" customWidth="1"/>
    <col min="12541" max="12542" width="3.5546875" style="399" bestFit="1" customWidth="1"/>
    <col min="12543" max="12543" width="5.5546875" style="399" bestFit="1" customWidth="1"/>
    <col min="12544" max="12545" width="10.6640625" style="399" bestFit="1" customWidth="1"/>
    <col min="12546" max="12546" width="9.6640625" style="399" bestFit="1" customWidth="1"/>
    <col min="12547" max="12547" width="9.6640625" style="399" customWidth="1"/>
    <col min="12548" max="12549" width="9.6640625" style="399" bestFit="1" customWidth="1"/>
    <col min="12550" max="12550" width="8.109375" style="399" bestFit="1" customWidth="1"/>
    <col min="12551" max="12555" width="9.33203125" style="399" bestFit="1" customWidth="1"/>
    <col min="12556" max="12556" width="10.6640625" style="399" bestFit="1" customWidth="1"/>
    <col min="12557" max="12558" width="10.6640625" style="399" customWidth="1"/>
    <col min="12559" max="12560" width="11.6640625" style="399" bestFit="1" customWidth="1"/>
    <col min="12561" max="12561" width="8.88671875" style="399"/>
    <col min="12562" max="12562" width="10.33203125" style="399" bestFit="1" customWidth="1"/>
    <col min="12563" max="12795" width="8.88671875" style="399"/>
    <col min="12796" max="12796" width="9.5546875" style="399" bestFit="1" customWidth="1"/>
    <col min="12797" max="12798" width="3.5546875" style="399" bestFit="1" customWidth="1"/>
    <col min="12799" max="12799" width="5.5546875" style="399" bestFit="1" customWidth="1"/>
    <col min="12800" max="12801" width="10.6640625" style="399" bestFit="1" customWidth="1"/>
    <col min="12802" max="12802" width="9.6640625" style="399" bestFit="1" customWidth="1"/>
    <col min="12803" max="12803" width="9.6640625" style="399" customWidth="1"/>
    <col min="12804" max="12805" width="9.6640625" style="399" bestFit="1" customWidth="1"/>
    <col min="12806" max="12806" width="8.109375" style="399" bestFit="1" customWidth="1"/>
    <col min="12807" max="12811" width="9.33203125" style="399" bestFit="1" customWidth="1"/>
    <col min="12812" max="12812" width="10.6640625" style="399" bestFit="1" customWidth="1"/>
    <col min="12813" max="12814" width="10.6640625" style="399" customWidth="1"/>
    <col min="12815" max="12816" width="11.6640625" style="399" bestFit="1" customWidth="1"/>
    <col min="12817" max="12817" width="8.88671875" style="399"/>
    <col min="12818" max="12818" width="10.33203125" style="399" bestFit="1" customWidth="1"/>
    <col min="12819" max="13051" width="8.88671875" style="399"/>
    <col min="13052" max="13052" width="9.5546875" style="399" bestFit="1" customWidth="1"/>
    <col min="13053" max="13054" width="3.5546875" style="399" bestFit="1" customWidth="1"/>
    <col min="13055" max="13055" width="5.5546875" style="399" bestFit="1" customWidth="1"/>
    <col min="13056" max="13057" width="10.6640625" style="399" bestFit="1" customWidth="1"/>
    <col min="13058" max="13058" width="9.6640625" style="399" bestFit="1" customWidth="1"/>
    <col min="13059" max="13059" width="9.6640625" style="399" customWidth="1"/>
    <col min="13060" max="13061" width="9.6640625" style="399" bestFit="1" customWidth="1"/>
    <col min="13062" max="13062" width="8.109375" style="399" bestFit="1" customWidth="1"/>
    <col min="13063" max="13067" width="9.33203125" style="399" bestFit="1" customWidth="1"/>
    <col min="13068" max="13068" width="10.6640625" style="399" bestFit="1" customWidth="1"/>
    <col min="13069" max="13070" width="10.6640625" style="399" customWidth="1"/>
    <col min="13071" max="13072" width="11.6640625" style="399" bestFit="1" customWidth="1"/>
    <col min="13073" max="13073" width="8.88671875" style="399"/>
    <col min="13074" max="13074" width="10.33203125" style="399" bestFit="1" customWidth="1"/>
    <col min="13075" max="13307" width="8.88671875" style="399"/>
    <col min="13308" max="13308" width="9.5546875" style="399" bestFit="1" customWidth="1"/>
    <col min="13309" max="13310" width="3.5546875" style="399" bestFit="1" customWidth="1"/>
    <col min="13311" max="13311" width="5.5546875" style="399" bestFit="1" customWidth="1"/>
    <col min="13312" max="13313" width="10.6640625" style="399" bestFit="1" customWidth="1"/>
    <col min="13314" max="13314" width="9.6640625" style="399" bestFit="1" customWidth="1"/>
    <col min="13315" max="13315" width="9.6640625" style="399" customWidth="1"/>
    <col min="13316" max="13317" width="9.6640625" style="399" bestFit="1" customWidth="1"/>
    <col min="13318" max="13318" width="8.109375" style="399" bestFit="1" customWidth="1"/>
    <col min="13319" max="13323" width="9.33203125" style="399" bestFit="1" customWidth="1"/>
    <col min="13324" max="13324" width="10.6640625" style="399" bestFit="1" customWidth="1"/>
    <col min="13325" max="13326" width="10.6640625" style="399" customWidth="1"/>
    <col min="13327" max="13328" width="11.6640625" style="399" bestFit="1" customWidth="1"/>
    <col min="13329" max="13329" width="8.88671875" style="399"/>
    <col min="13330" max="13330" width="10.33203125" style="399" bestFit="1" customWidth="1"/>
    <col min="13331" max="13563" width="8.88671875" style="399"/>
    <col min="13564" max="13564" width="9.5546875" style="399" bestFit="1" customWidth="1"/>
    <col min="13565" max="13566" width="3.5546875" style="399" bestFit="1" customWidth="1"/>
    <col min="13567" max="13567" width="5.5546875" style="399" bestFit="1" customWidth="1"/>
    <col min="13568" max="13569" width="10.6640625" style="399" bestFit="1" customWidth="1"/>
    <col min="13570" max="13570" width="9.6640625" style="399" bestFit="1" customWidth="1"/>
    <col min="13571" max="13571" width="9.6640625" style="399" customWidth="1"/>
    <col min="13572" max="13573" width="9.6640625" style="399" bestFit="1" customWidth="1"/>
    <col min="13574" max="13574" width="8.109375" style="399" bestFit="1" customWidth="1"/>
    <col min="13575" max="13579" width="9.33203125" style="399" bestFit="1" customWidth="1"/>
    <col min="13580" max="13580" width="10.6640625" style="399" bestFit="1" customWidth="1"/>
    <col min="13581" max="13582" width="10.6640625" style="399" customWidth="1"/>
    <col min="13583" max="13584" width="11.6640625" style="399" bestFit="1" customWidth="1"/>
    <col min="13585" max="13585" width="8.88671875" style="399"/>
    <col min="13586" max="13586" width="10.33203125" style="399" bestFit="1" customWidth="1"/>
    <col min="13587" max="13819" width="8.88671875" style="399"/>
    <col min="13820" max="13820" width="9.5546875" style="399" bestFit="1" customWidth="1"/>
    <col min="13821" max="13822" width="3.5546875" style="399" bestFit="1" customWidth="1"/>
    <col min="13823" max="13823" width="5.5546875" style="399" bestFit="1" customWidth="1"/>
    <col min="13824" max="13825" width="10.6640625" style="399" bestFit="1" customWidth="1"/>
    <col min="13826" max="13826" width="9.6640625" style="399" bestFit="1" customWidth="1"/>
    <col min="13827" max="13827" width="9.6640625" style="399" customWidth="1"/>
    <col min="13828" max="13829" width="9.6640625" style="399" bestFit="1" customWidth="1"/>
    <col min="13830" max="13830" width="8.109375" style="399" bestFit="1" customWidth="1"/>
    <col min="13831" max="13835" width="9.33203125" style="399" bestFit="1" customWidth="1"/>
    <col min="13836" max="13836" width="10.6640625" style="399" bestFit="1" customWidth="1"/>
    <col min="13837" max="13838" width="10.6640625" style="399" customWidth="1"/>
    <col min="13839" max="13840" width="11.6640625" style="399" bestFit="1" customWidth="1"/>
    <col min="13841" max="13841" width="8.88671875" style="399"/>
    <col min="13842" max="13842" width="10.33203125" style="399" bestFit="1" customWidth="1"/>
    <col min="13843" max="14075" width="8.88671875" style="399"/>
    <col min="14076" max="14076" width="9.5546875" style="399" bestFit="1" customWidth="1"/>
    <col min="14077" max="14078" width="3.5546875" style="399" bestFit="1" customWidth="1"/>
    <col min="14079" max="14079" width="5.5546875" style="399" bestFit="1" customWidth="1"/>
    <col min="14080" max="14081" width="10.6640625" style="399" bestFit="1" customWidth="1"/>
    <col min="14082" max="14082" width="9.6640625" style="399" bestFit="1" customWidth="1"/>
    <col min="14083" max="14083" width="9.6640625" style="399" customWidth="1"/>
    <col min="14084" max="14085" width="9.6640625" style="399" bestFit="1" customWidth="1"/>
    <col min="14086" max="14086" width="8.109375" style="399" bestFit="1" customWidth="1"/>
    <col min="14087" max="14091" width="9.33203125" style="399" bestFit="1" customWidth="1"/>
    <col min="14092" max="14092" width="10.6640625" style="399" bestFit="1" customWidth="1"/>
    <col min="14093" max="14094" width="10.6640625" style="399" customWidth="1"/>
    <col min="14095" max="14096" width="11.6640625" style="399" bestFit="1" customWidth="1"/>
    <col min="14097" max="14097" width="8.88671875" style="399"/>
    <col min="14098" max="14098" width="10.33203125" style="399" bestFit="1" customWidth="1"/>
    <col min="14099" max="14331" width="8.88671875" style="399"/>
    <col min="14332" max="14332" width="9.5546875" style="399" bestFit="1" customWidth="1"/>
    <col min="14333" max="14334" width="3.5546875" style="399" bestFit="1" customWidth="1"/>
    <col min="14335" max="14335" width="5.5546875" style="399" bestFit="1" customWidth="1"/>
    <col min="14336" max="14337" width="10.6640625" style="399" bestFit="1" customWidth="1"/>
    <col min="14338" max="14338" width="9.6640625" style="399" bestFit="1" customWidth="1"/>
    <col min="14339" max="14339" width="9.6640625" style="399" customWidth="1"/>
    <col min="14340" max="14341" width="9.6640625" style="399" bestFit="1" customWidth="1"/>
    <col min="14342" max="14342" width="8.109375" style="399" bestFit="1" customWidth="1"/>
    <col min="14343" max="14347" width="9.33203125" style="399" bestFit="1" customWidth="1"/>
    <col min="14348" max="14348" width="10.6640625" style="399" bestFit="1" customWidth="1"/>
    <col min="14349" max="14350" width="10.6640625" style="399" customWidth="1"/>
    <col min="14351" max="14352" width="11.6640625" style="399" bestFit="1" customWidth="1"/>
    <col min="14353" max="14353" width="8.88671875" style="399"/>
    <col min="14354" max="14354" width="10.33203125" style="399" bestFit="1" customWidth="1"/>
    <col min="14355" max="14587" width="8.88671875" style="399"/>
    <col min="14588" max="14588" width="9.5546875" style="399" bestFit="1" customWidth="1"/>
    <col min="14589" max="14590" width="3.5546875" style="399" bestFit="1" customWidth="1"/>
    <col min="14591" max="14591" width="5.5546875" style="399" bestFit="1" customWidth="1"/>
    <col min="14592" max="14593" width="10.6640625" style="399" bestFit="1" customWidth="1"/>
    <col min="14594" max="14594" width="9.6640625" style="399" bestFit="1" customWidth="1"/>
    <col min="14595" max="14595" width="9.6640625" style="399" customWidth="1"/>
    <col min="14596" max="14597" width="9.6640625" style="399" bestFit="1" customWidth="1"/>
    <col min="14598" max="14598" width="8.109375" style="399" bestFit="1" customWidth="1"/>
    <col min="14599" max="14603" width="9.33203125" style="399" bestFit="1" customWidth="1"/>
    <col min="14604" max="14604" width="10.6640625" style="399" bestFit="1" customWidth="1"/>
    <col min="14605" max="14606" width="10.6640625" style="399" customWidth="1"/>
    <col min="14607" max="14608" width="11.6640625" style="399" bestFit="1" customWidth="1"/>
    <col min="14609" max="14609" width="8.88671875" style="399"/>
    <col min="14610" max="14610" width="10.33203125" style="399" bestFit="1" customWidth="1"/>
    <col min="14611" max="14843" width="8.88671875" style="399"/>
    <col min="14844" max="14844" width="9.5546875" style="399" bestFit="1" customWidth="1"/>
    <col min="14845" max="14846" width="3.5546875" style="399" bestFit="1" customWidth="1"/>
    <col min="14847" max="14847" width="5.5546875" style="399" bestFit="1" customWidth="1"/>
    <col min="14848" max="14849" width="10.6640625" style="399" bestFit="1" customWidth="1"/>
    <col min="14850" max="14850" width="9.6640625" style="399" bestFit="1" customWidth="1"/>
    <col min="14851" max="14851" width="9.6640625" style="399" customWidth="1"/>
    <col min="14852" max="14853" width="9.6640625" style="399" bestFit="1" customWidth="1"/>
    <col min="14854" max="14854" width="8.109375" style="399" bestFit="1" customWidth="1"/>
    <col min="14855" max="14859" width="9.33203125" style="399" bestFit="1" customWidth="1"/>
    <col min="14860" max="14860" width="10.6640625" style="399" bestFit="1" customWidth="1"/>
    <col min="14861" max="14862" width="10.6640625" style="399" customWidth="1"/>
    <col min="14863" max="14864" width="11.6640625" style="399" bestFit="1" customWidth="1"/>
    <col min="14865" max="14865" width="8.88671875" style="399"/>
    <col min="14866" max="14866" width="10.33203125" style="399" bestFit="1" customWidth="1"/>
    <col min="14867" max="15099" width="8.88671875" style="399"/>
    <col min="15100" max="15100" width="9.5546875" style="399" bestFit="1" customWidth="1"/>
    <col min="15101" max="15102" width="3.5546875" style="399" bestFit="1" customWidth="1"/>
    <col min="15103" max="15103" width="5.5546875" style="399" bestFit="1" customWidth="1"/>
    <col min="15104" max="15105" width="10.6640625" style="399" bestFit="1" customWidth="1"/>
    <col min="15106" max="15106" width="9.6640625" style="399" bestFit="1" customWidth="1"/>
    <col min="15107" max="15107" width="9.6640625" style="399" customWidth="1"/>
    <col min="15108" max="15109" width="9.6640625" style="399" bestFit="1" customWidth="1"/>
    <col min="15110" max="15110" width="8.109375" style="399" bestFit="1" customWidth="1"/>
    <col min="15111" max="15115" width="9.33203125" style="399" bestFit="1" customWidth="1"/>
    <col min="15116" max="15116" width="10.6640625" style="399" bestFit="1" customWidth="1"/>
    <col min="15117" max="15118" width="10.6640625" style="399" customWidth="1"/>
    <col min="15119" max="15120" width="11.6640625" style="399" bestFit="1" customWidth="1"/>
    <col min="15121" max="15121" width="8.88671875" style="399"/>
    <col min="15122" max="15122" width="10.33203125" style="399" bestFit="1" customWidth="1"/>
    <col min="15123" max="15355" width="8.88671875" style="399"/>
    <col min="15356" max="15356" width="9.5546875" style="399" bestFit="1" customWidth="1"/>
    <col min="15357" max="15358" width="3.5546875" style="399" bestFit="1" customWidth="1"/>
    <col min="15359" max="15359" width="5.5546875" style="399" bestFit="1" customWidth="1"/>
    <col min="15360" max="15361" width="10.6640625" style="399" bestFit="1" customWidth="1"/>
    <col min="15362" max="15362" width="9.6640625" style="399" bestFit="1" customWidth="1"/>
    <col min="15363" max="15363" width="9.6640625" style="399" customWidth="1"/>
    <col min="15364" max="15365" width="9.6640625" style="399" bestFit="1" customWidth="1"/>
    <col min="15366" max="15366" width="8.109375" style="399" bestFit="1" customWidth="1"/>
    <col min="15367" max="15371" width="9.33203125" style="399" bestFit="1" customWidth="1"/>
    <col min="15372" max="15372" width="10.6640625" style="399" bestFit="1" customWidth="1"/>
    <col min="15373" max="15374" width="10.6640625" style="399" customWidth="1"/>
    <col min="15375" max="15376" width="11.6640625" style="399" bestFit="1" customWidth="1"/>
    <col min="15377" max="15377" width="8.88671875" style="399"/>
    <col min="15378" max="15378" width="10.33203125" style="399" bestFit="1" customWidth="1"/>
    <col min="15379" max="15611" width="8.88671875" style="399"/>
    <col min="15612" max="15612" width="9.5546875" style="399" bestFit="1" customWidth="1"/>
    <col min="15613" max="15614" width="3.5546875" style="399" bestFit="1" customWidth="1"/>
    <col min="15615" max="15615" width="5.5546875" style="399" bestFit="1" customWidth="1"/>
    <col min="15616" max="15617" width="10.6640625" style="399" bestFit="1" customWidth="1"/>
    <col min="15618" max="15618" width="9.6640625" style="399" bestFit="1" customWidth="1"/>
    <col min="15619" max="15619" width="9.6640625" style="399" customWidth="1"/>
    <col min="15620" max="15621" width="9.6640625" style="399" bestFit="1" customWidth="1"/>
    <col min="15622" max="15622" width="8.109375" style="399" bestFit="1" customWidth="1"/>
    <col min="15623" max="15627" width="9.33203125" style="399" bestFit="1" customWidth="1"/>
    <col min="15628" max="15628" width="10.6640625" style="399" bestFit="1" customWidth="1"/>
    <col min="15629" max="15630" width="10.6640625" style="399" customWidth="1"/>
    <col min="15631" max="15632" width="11.6640625" style="399" bestFit="1" customWidth="1"/>
    <col min="15633" max="15633" width="8.88671875" style="399"/>
    <col min="15634" max="15634" width="10.33203125" style="399" bestFit="1" customWidth="1"/>
    <col min="15635" max="15867" width="8.88671875" style="399"/>
    <col min="15868" max="15868" width="9.5546875" style="399" bestFit="1" customWidth="1"/>
    <col min="15869" max="15870" width="3.5546875" style="399" bestFit="1" customWidth="1"/>
    <col min="15871" max="15871" width="5.5546875" style="399" bestFit="1" customWidth="1"/>
    <col min="15872" max="15873" width="10.6640625" style="399" bestFit="1" customWidth="1"/>
    <col min="15874" max="15874" width="9.6640625" style="399" bestFit="1" customWidth="1"/>
    <col min="15875" max="15875" width="9.6640625" style="399" customWidth="1"/>
    <col min="15876" max="15877" width="9.6640625" style="399" bestFit="1" customWidth="1"/>
    <col min="15878" max="15878" width="8.109375" style="399" bestFit="1" customWidth="1"/>
    <col min="15879" max="15883" width="9.33203125" style="399" bestFit="1" customWidth="1"/>
    <col min="15884" max="15884" width="10.6640625" style="399" bestFit="1" customWidth="1"/>
    <col min="15885" max="15886" width="10.6640625" style="399" customWidth="1"/>
    <col min="15887" max="15888" width="11.6640625" style="399" bestFit="1" customWidth="1"/>
    <col min="15889" max="15889" width="8.88671875" style="399"/>
    <col min="15890" max="15890" width="10.33203125" style="399" bestFit="1" customWidth="1"/>
    <col min="15891" max="16123" width="8.88671875" style="399"/>
    <col min="16124" max="16124" width="9.5546875" style="399" bestFit="1" customWidth="1"/>
    <col min="16125" max="16126" width="3.5546875" style="399" bestFit="1" customWidth="1"/>
    <col min="16127" max="16127" width="5.5546875" style="399" bestFit="1" customWidth="1"/>
    <col min="16128" max="16129" width="10.6640625" style="399" bestFit="1" customWidth="1"/>
    <col min="16130" max="16130" width="9.6640625" style="399" bestFit="1" customWidth="1"/>
    <col min="16131" max="16131" width="9.6640625" style="399" customWidth="1"/>
    <col min="16132" max="16133" width="9.6640625" style="399" bestFit="1" customWidth="1"/>
    <col min="16134" max="16134" width="8.109375" style="399" bestFit="1" customWidth="1"/>
    <col min="16135" max="16139" width="9.33203125" style="399" bestFit="1" customWidth="1"/>
    <col min="16140" max="16140" width="10.6640625" style="399" bestFit="1" customWidth="1"/>
    <col min="16141" max="16142" width="10.6640625" style="399" customWidth="1"/>
    <col min="16143" max="16144" width="11.6640625" style="399" bestFit="1" customWidth="1"/>
    <col min="16145" max="16145" width="8.88671875" style="399"/>
    <col min="16146" max="16146" width="10.33203125" style="399" bestFit="1" customWidth="1"/>
    <col min="16147" max="16384" width="8.88671875" style="399"/>
  </cols>
  <sheetData>
    <row r="3" spans="1:18" s="399" customFormat="1">
      <c r="A3" s="475" t="s">
        <v>47</v>
      </c>
      <c r="B3" s="476"/>
      <c r="C3" s="476"/>
      <c r="D3" s="476"/>
      <c r="E3" s="476"/>
      <c r="F3" s="476"/>
      <c r="G3" s="476"/>
      <c r="H3" s="476"/>
      <c r="I3" s="476"/>
      <c r="J3" s="476"/>
      <c r="K3" s="476"/>
      <c r="L3" s="476"/>
      <c r="M3" s="476"/>
      <c r="N3" s="476"/>
      <c r="O3" s="398"/>
      <c r="P3" s="398"/>
      <c r="Q3" s="398"/>
      <c r="R3" s="398"/>
    </row>
    <row r="4" spans="1:18" s="399" customFormat="1">
      <c r="A4" s="470" t="s">
        <v>704</v>
      </c>
      <c r="B4" s="470"/>
      <c r="C4" s="470"/>
      <c r="D4" s="470"/>
      <c r="E4" s="470"/>
      <c r="F4" s="470"/>
      <c r="G4" s="470"/>
      <c r="H4" s="470"/>
      <c r="I4" s="470"/>
      <c r="J4" s="470"/>
      <c r="K4" s="470"/>
      <c r="L4" s="470"/>
      <c r="M4" s="470"/>
      <c r="N4" s="470"/>
      <c r="O4" s="398"/>
      <c r="P4" s="398"/>
      <c r="Q4" s="398"/>
      <c r="R4" s="398"/>
    </row>
    <row r="5" spans="1:18" s="399" customFormat="1">
      <c r="A5" s="470" t="s">
        <v>682</v>
      </c>
      <c r="B5" s="470"/>
      <c r="C5" s="470"/>
      <c r="D5" s="470"/>
      <c r="E5" s="470"/>
      <c r="F5" s="470"/>
      <c r="G5" s="470"/>
      <c r="H5" s="470"/>
      <c r="I5" s="470"/>
      <c r="J5" s="470"/>
      <c r="K5" s="470"/>
      <c r="L5" s="470"/>
      <c r="M5" s="470"/>
      <c r="N5" s="470"/>
      <c r="O5" s="398"/>
      <c r="P5" s="398"/>
      <c r="Q5" s="398"/>
      <c r="R5" s="398"/>
    </row>
    <row r="7" spans="1:18" s="399" customFormat="1" ht="52.8">
      <c r="B7" s="195" t="s">
        <v>21</v>
      </c>
      <c r="C7" s="195" t="s">
        <v>22</v>
      </c>
      <c r="D7" s="195" t="s">
        <v>23</v>
      </c>
      <c r="E7" s="195" t="s">
        <v>24</v>
      </c>
      <c r="F7" s="400"/>
      <c r="G7" s="400"/>
      <c r="H7" s="401" t="s">
        <v>705</v>
      </c>
      <c r="I7" s="402" t="s">
        <v>706</v>
      </c>
      <c r="J7" s="402" t="s">
        <v>707</v>
      </c>
      <c r="K7" s="402" t="s">
        <v>708</v>
      </c>
      <c r="L7" s="402" t="s">
        <v>709</v>
      </c>
      <c r="M7" s="402" t="s">
        <v>710</v>
      </c>
      <c r="N7" s="402" t="s">
        <v>711</v>
      </c>
      <c r="O7" s="403"/>
      <c r="P7" s="403"/>
      <c r="Q7" s="398"/>
      <c r="R7" s="403"/>
    </row>
    <row r="8" spans="1:18" s="399" customFormat="1" ht="26.4">
      <c r="A8" s="199" t="s">
        <v>665</v>
      </c>
      <c r="B8" s="404"/>
      <c r="C8" s="404"/>
      <c r="D8" s="404"/>
      <c r="E8" s="404"/>
      <c r="F8" s="405"/>
      <c r="G8" s="405"/>
      <c r="H8" s="406" t="s">
        <v>712</v>
      </c>
      <c r="I8" s="405" t="s">
        <v>713</v>
      </c>
      <c r="J8" s="405" t="s">
        <v>714</v>
      </c>
      <c r="K8" s="405" t="s">
        <v>715</v>
      </c>
      <c r="L8" s="405" t="s">
        <v>716</v>
      </c>
      <c r="M8" s="405" t="s">
        <v>717</v>
      </c>
      <c r="N8" s="405" t="s">
        <v>718</v>
      </c>
      <c r="O8" s="398"/>
      <c r="P8" s="398"/>
      <c r="Q8" s="398"/>
      <c r="R8" s="398"/>
    </row>
    <row r="9" spans="1:18" s="399" customFormat="1" ht="15">
      <c r="B9" s="202">
        <v>2013</v>
      </c>
      <c r="C9" s="202">
        <v>1</v>
      </c>
      <c r="D9" s="202">
        <v>14</v>
      </c>
      <c r="E9" s="202">
        <v>1900</v>
      </c>
      <c r="F9" s="407"/>
      <c r="G9" s="407"/>
      <c r="H9" s="408">
        <v>2627000</v>
      </c>
      <c r="I9" s="409">
        <v>685906.2395218719</v>
      </c>
      <c r="J9" s="409">
        <v>482357.0199826376</v>
      </c>
      <c r="K9" s="409">
        <v>568006.63538260909</v>
      </c>
      <c r="L9" s="409">
        <v>422462.19297569088</v>
      </c>
      <c r="M9" s="409">
        <v>39848.206273965283</v>
      </c>
      <c r="N9" s="409">
        <v>428419.70586322516</v>
      </c>
      <c r="O9" s="398"/>
      <c r="P9" s="410"/>
      <c r="Q9" s="411"/>
      <c r="R9" s="410"/>
    </row>
    <row r="10" spans="1:18" s="399" customFormat="1" ht="14.4">
      <c r="B10" s="202">
        <v>2013</v>
      </c>
      <c r="C10" s="202">
        <v>2</v>
      </c>
      <c r="D10" s="202">
        <v>14</v>
      </c>
      <c r="E10" s="202">
        <v>800</v>
      </c>
      <c r="F10" s="407"/>
      <c r="G10" s="407"/>
      <c r="H10" s="408">
        <v>2627000</v>
      </c>
      <c r="I10" s="409">
        <v>685906.2395218719</v>
      </c>
      <c r="J10" s="409">
        <v>482357.0199826376</v>
      </c>
      <c r="K10" s="409">
        <v>568006.63538260909</v>
      </c>
      <c r="L10" s="409">
        <v>422462.19297569088</v>
      </c>
      <c r="M10" s="409">
        <v>39848.206273965283</v>
      </c>
      <c r="N10" s="409">
        <v>428419.70586322516</v>
      </c>
      <c r="O10" s="398"/>
      <c r="P10" s="410"/>
      <c r="Q10" s="398"/>
      <c r="R10" s="410"/>
    </row>
    <row r="11" spans="1:18" s="399" customFormat="1" ht="14.4">
      <c r="B11" s="202">
        <v>2013</v>
      </c>
      <c r="C11" s="202">
        <v>3</v>
      </c>
      <c r="D11" s="202">
        <v>27</v>
      </c>
      <c r="E11" s="202">
        <v>800</v>
      </c>
      <c r="F11" s="407"/>
      <c r="G11" s="407"/>
      <c r="H11" s="408">
        <v>2627000</v>
      </c>
      <c r="I11" s="409">
        <v>685906.2395218719</v>
      </c>
      <c r="J11" s="409">
        <v>482357.0199826376</v>
      </c>
      <c r="K11" s="409">
        <v>568006.63538260909</v>
      </c>
      <c r="L11" s="409">
        <v>422462.19297569088</v>
      </c>
      <c r="M11" s="409">
        <v>39848.206273965283</v>
      </c>
      <c r="N11" s="409">
        <v>428419.70586322516</v>
      </c>
      <c r="O11" s="398"/>
      <c r="P11" s="410"/>
      <c r="Q11" s="398"/>
      <c r="R11" s="410"/>
    </row>
    <row r="12" spans="1:18" s="399" customFormat="1" ht="14.4">
      <c r="B12" s="202">
        <v>2013</v>
      </c>
      <c r="C12" s="202">
        <v>4</v>
      </c>
      <c r="D12" s="202">
        <v>17</v>
      </c>
      <c r="E12" s="202">
        <v>1700</v>
      </c>
      <c r="F12" s="407"/>
      <c r="G12" s="407"/>
      <c r="H12" s="408">
        <v>2647000</v>
      </c>
      <c r="I12" s="409">
        <v>691128.21317639702</v>
      </c>
      <c r="J12" s="409">
        <v>486029.32314200298</v>
      </c>
      <c r="K12" s="409">
        <v>572331.0102237406</v>
      </c>
      <c r="L12" s="409">
        <v>425678.50202004332</v>
      </c>
      <c r="M12" s="409">
        <v>40151.580512823035</v>
      </c>
      <c r="N12" s="409">
        <v>431681.37092499319</v>
      </c>
      <c r="O12" s="398"/>
      <c r="P12" s="410"/>
      <c r="Q12" s="398"/>
      <c r="R12" s="410"/>
    </row>
    <row r="13" spans="1:18" s="399" customFormat="1" ht="14.4">
      <c r="B13" s="202">
        <v>2013</v>
      </c>
      <c r="C13" s="202">
        <v>5</v>
      </c>
      <c r="D13" s="202">
        <v>20</v>
      </c>
      <c r="E13" s="202">
        <v>1600</v>
      </c>
      <c r="F13" s="407"/>
      <c r="G13" s="407"/>
      <c r="H13" s="408">
        <v>2647000</v>
      </c>
      <c r="I13" s="409">
        <v>691128.21317639702</v>
      </c>
      <c r="J13" s="409">
        <v>486029.32314200298</v>
      </c>
      <c r="K13" s="409">
        <v>572331.0102237406</v>
      </c>
      <c r="L13" s="409">
        <v>425678.50202004332</v>
      </c>
      <c r="M13" s="409">
        <v>40151.580512823035</v>
      </c>
      <c r="N13" s="409">
        <v>431681.37092499319</v>
      </c>
      <c r="O13" s="398"/>
      <c r="P13" s="410"/>
      <c r="Q13" s="398"/>
      <c r="R13" s="410"/>
    </row>
    <row r="14" spans="1:18" s="399" customFormat="1" ht="14.4">
      <c r="B14" s="202">
        <v>2013</v>
      </c>
      <c r="C14" s="202">
        <v>6</v>
      </c>
      <c r="D14" s="202">
        <v>27</v>
      </c>
      <c r="E14" s="202">
        <v>1700</v>
      </c>
      <c r="F14" s="407"/>
      <c r="G14" s="407"/>
      <c r="H14" s="408">
        <v>2591000</v>
      </c>
      <c r="I14" s="409">
        <v>676506.68694372673</v>
      </c>
      <c r="J14" s="409">
        <v>475746.87429578003</v>
      </c>
      <c r="K14" s="409">
        <v>560222.76066857262</v>
      </c>
      <c r="L14" s="409">
        <v>416672.83669585653</v>
      </c>
      <c r="M14" s="409">
        <v>39302.132644021338</v>
      </c>
      <c r="N14" s="409">
        <v>422548.70875204279</v>
      </c>
      <c r="O14" s="398"/>
      <c r="P14" s="410"/>
      <c r="Q14" s="398"/>
      <c r="R14" s="410"/>
    </row>
    <row r="15" spans="1:18" s="399" customFormat="1" ht="14.4">
      <c r="B15" s="202">
        <v>2013</v>
      </c>
      <c r="C15" s="202">
        <v>7</v>
      </c>
      <c r="D15" s="202">
        <v>10</v>
      </c>
      <c r="E15" s="202">
        <v>1600</v>
      </c>
      <c r="F15" s="407"/>
      <c r="G15" s="407"/>
      <c r="H15" s="408">
        <v>2591000</v>
      </c>
      <c r="I15" s="409">
        <v>676506.68694372673</v>
      </c>
      <c r="J15" s="409">
        <v>475746.87429578003</v>
      </c>
      <c r="K15" s="409">
        <v>560222.76066857262</v>
      </c>
      <c r="L15" s="409">
        <v>416672.83669585653</v>
      </c>
      <c r="M15" s="409">
        <v>39302.132644021338</v>
      </c>
      <c r="N15" s="409">
        <v>422548.70875204279</v>
      </c>
      <c r="O15" s="398"/>
      <c r="P15" s="410"/>
      <c r="Q15" s="398"/>
      <c r="R15" s="410"/>
    </row>
    <row r="16" spans="1:18" s="399" customFormat="1" ht="14.4">
      <c r="B16" s="202">
        <v>2013</v>
      </c>
      <c r="C16" s="202">
        <v>8</v>
      </c>
      <c r="D16" s="202">
        <v>8</v>
      </c>
      <c r="E16" s="202">
        <v>1700</v>
      </c>
      <c r="F16" s="407"/>
      <c r="G16" s="407"/>
      <c r="H16" s="408">
        <v>2591000</v>
      </c>
      <c r="I16" s="409">
        <v>676506.68694372673</v>
      </c>
      <c r="J16" s="409">
        <v>475746.87429578003</v>
      </c>
      <c r="K16" s="409">
        <v>560222.76066857262</v>
      </c>
      <c r="L16" s="409">
        <v>416672.83669585653</v>
      </c>
      <c r="M16" s="409">
        <v>39302.132644021338</v>
      </c>
      <c r="N16" s="409">
        <v>422548.70875204279</v>
      </c>
      <c r="O16" s="398"/>
      <c r="P16" s="410"/>
      <c r="Q16" s="398"/>
      <c r="R16" s="410"/>
    </row>
    <row r="17" spans="1:18" s="399" customFormat="1" ht="14.4">
      <c r="B17" s="202">
        <v>2013</v>
      </c>
      <c r="C17" s="202">
        <v>9</v>
      </c>
      <c r="D17" s="202">
        <v>3</v>
      </c>
      <c r="E17" s="202">
        <v>1600</v>
      </c>
      <c r="F17" s="407"/>
      <c r="G17" s="407"/>
      <c r="H17" s="408">
        <v>2591000</v>
      </c>
      <c r="I17" s="409">
        <v>676506.68694372673</v>
      </c>
      <c r="J17" s="409">
        <v>475746.87429578003</v>
      </c>
      <c r="K17" s="409">
        <v>560222.76066857262</v>
      </c>
      <c r="L17" s="409">
        <v>416672.83669585653</v>
      </c>
      <c r="M17" s="409">
        <v>39302.132644021338</v>
      </c>
      <c r="N17" s="409">
        <v>422548.70875204279</v>
      </c>
      <c r="O17" s="398"/>
      <c r="P17" s="410"/>
      <c r="Q17" s="398"/>
      <c r="R17" s="410"/>
    </row>
    <row r="18" spans="1:18" s="399" customFormat="1" ht="14.4">
      <c r="B18" s="202">
        <v>2013</v>
      </c>
      <c r="C18" s="202">
        <v>10</v>
      </c>
      <c r="D18" s="202">
        <v>3</v>
      </c>
      <c r="E18" s="202">
        <v>1600</v>
      </c>
      <c r="F18" s="407"/>
      <c r="G18" s="407"/>
      <c r="H18" s="408">
        <v>2591000</v>
      </c>
      <c r="I18" s="409">
        <v>676506.68694372673</v>
      </c>
      <c r="J18" s="409">
        <v>475746.87429578003</v>
      </c>
      <c r="K18" s="409">
        <v>560222.76066857262</v>
      </c>
      <c r="L18" s="409">
        <v>416672.83669585653</v>
      </c>
      <c r="M18" s="409">
        <v>39302.132644021338</v>
      </c>
      <c r="N18" s="409">
        <v>422548.70875204279</v>
      </c>
      <c r="O18" s="398"/>
      <c r="P18" s="410"/>
      <c r="Q18" s="398"/>
      <c r="R18" s="410"/>
    </row>
    <row r="19" spans="1:18" s="399" customFormat="1" ht="14.4">
      <c r="B19" s="202">
        <v>2013</v>
      </c>
      <c r="C19" s="202">
        <v>11</v>
      </c>
      <c r="D19" s="202">
        <v>28</v>
      </c>
      <c r="E19" s="202">
        <v>900</v>
      </c>
      <c r="F19" s="407"/>
      <c r="G19" s="407"/>
      <c r="H19" s="408">
        <v>2591000</v>
      </c>
      <c r="I19" s="409">
        <v>676506.68694372673</v>
      </c>
      <c r="J19" s="409">
        <v>475746.87429578003</v>
      </c>
      <c r="K19" s="409">
        <v>560222.76066857262</v>
      </c>
      <c r="L19" s="409">
        <v>416672.83669585653</v>
      </c>
      <c r="M19" s="409">
        <v>39302.132644021338</v>
      </c>
      <c r="N19" s="409">
        <v>422548.70875204279</v>
      </c>
      <c r="O19" s="398"/>
      <c r="P19" s="410"/>
      <c r="Q19" s="398"/>
      <c r="R19" s="410"/>
    </row>
    <row r="20" spans="1:18" s="399" customFormat="1" ht="14.4">
      <c r="B20" s="202">
        <v>2013</v>
      </c>
      <c r="C20" s="202">
        <v>12</v>
      </c>
      <c r="D20" s="202">
        <v>16</v>
      </c>
      <c r="E20" s="202">
        <v>800</v>
      </c>
      <c r="F20" s="412"/>
      <c r="G20" s="412"/>
      <c r="H20" s="413">
        <v>2591000</v>
      </c>
      <c r="I20" s="414">
        <v>676506.68694372673</v>
      </c>
      <c r="J20" s="414">
        <v>475746.87429578003</v>
      </c>
      <c r="K20" s="414">
        <v>560222.76066857262</v>
      </c>
      <c r="L20" s="414">
        <v>416672.83669585653</v>
      </c>
      <c r="M20" s="414">
        <v>39302.132644021338</v>
      </c>
      <c r="N20" s="414">
        <v>422548.70875204279</v>
      </c>
      <c r="O20" s="398"/>
      <c r="P20" s="410"/>
      <c r="Q20" s="398"/>
      <c r="R20" s="410"/>
    </row>
    <row r="21" spans="1:18" s="399" customFormat="1">
      <c r="F21" s="412"/>
      <c r="G21" s="412"/>
      <c r="H21" s="412"/>
      <c r="I21" s="412"/>
      <c r="J21" s="412"/>
      <c r="K21" s="412"/>
      <c r="L21" s="412"/>
      <c r="M21" s="412"/>
      <c r="N21" s="407"/>
      <c r="O21" s="398"/>
      <c r="P21" s="398"/>
      <c r="Q21" s="398"/>
      <c r="R21" s="398"/>
    </row>
    <row r="22" spans="1:18" s="399" customFormat="1" ht="13.8" thickBot="1">
      <c r="D22" s="477" t="s">
        <v>14</v>
      </c>
      <c r="E22" s="477"/>
      <c r="F22" s="415"/>
      <c r="G22" s="416"/>
      <c r="H22" s="417">
        <v>31312000</v>
      </c>
      <c r="I22" s="417">
        <v>8175521.9535244964</v>
      </c>
      <c r="J22" s="417">
        <v>5749357.8263023803</v>
      </c>
      <c r="K22" s="417">
        <v>6770241.2512753187</v>
      </c>
      <c r="L22" s="417">
        <v>5035453.4398381542</v>
      </c>
      <c r="M22" s="417">
        <v>474962.7083556914</v>
      </c>
      <c r="N22" s="417">
        <v>5106462.82070396</v>
      </c>
      <c r="O22" s="410"/>
      <c r="P22" s="410"/>
      <c r="Q22" s="398"/>
      <c r="R22" s="398"/>
    </row>
    <row r="23" spans="1:18" s="399" customFormat="1" ht="13.8" thickTop="1">
      <c r="E23" s="418"/>
      <c r="F23" s="419"/>
      <c r="G23" s="419"/>
      <c r="H23" s="420">
        <v>0</v>
      </c>
      <c r="I23" s="420">
        <v>0</v>
      </c>
      <c r="J23" s="420">
        <v>0</v>
      </c>
      <c r="K23" s="420">
        <v>0</v>
      </c>
      <c r="L23" s="420">
        <v>0</v>
      </c>
      <c r="M23" s="420">
        <v>0</v>
      </c>
      <c r="N23" s="420">
        <v>0</v>
      </c>
      <c r="O23" s="410"/>
      <c r="P23" s="410"/>
      <c r="Q23" s="398"/>
      <c r="R23" s="398"/>
    </row>
    <row r="24" spans="1:18" s="399" customFormat="1">
      <c r="C24" s="477" t="s">
        <v>648</v>
      </c>
      <c r="D24" s="477"/>
      <c r="E24" s="477"/>
      <c r="F24" s="419"/>
      <c r="G24" s="419"/>
      <c r="H24" s="419"/>
      <c r="I24" s="419"/>
      <c r="J24" s="419"/>
      <c r="K24" s="419"/>
      <c r="L24" s="419"/>
      <c r="M24" s="419"/>
      <c r="N24" s="419"/>
      <c r="O24" s="410"/>
      <c r="P24" s="410"/>
      <c r="Q24" s="398"/>
      <c r="R24" s="410"/>
    </row>
    <row r="25" spans="1:18" s="399" customFormat="1" ht="14.4">
      <c r="E25" s="418"/>
      <c r="F25"/>
      <c r="G25" s="421" t="s">
        <v>719</v>
      </c>
      <c r="H25" s="421" t="s">
        <v>14</v>
      </c>
      <c r="I25" s="421" t="s">
        <v>33</v>
      </c>
      <c r="J25" s="421" t="s">
        <v>34</v>
      </c>
      <c r="K25" s="421" t="s">
        <v>35</v>
      </c>
      <c r="L25" s="421" t="s">
        <v>25</v>
      </c>
      <c r="M25" s="421" t="s">
        <v>36</v>
      </c>
      <c r="N25" s="421" t="s">
        <v>37</v>
      </c>
      <c r="O25" s="410"/>
      <c r="P25" s="410"/>
      <c r="Q25" s="398"/>
      <c r="R25" s="398"/>
    </row>
    <row r="26" spans="1:18" s="398" customFormat="1" ht="14.4">
      <c r="A26" s="472" t="s">
        <v>720</v>
      </c>
      <c r="B26" s="472"/>
      <c r="C26" s="472"/>
      <c r="D26" s="472"/>
      <c r="E26" s="472"/>
      <c r="F26" s="472"/>
      <c r="G26" s="422" t="s">
        <v>570</v>
      </c>
      <c r="H26" s="409">
        <v>5810170185.3999996</v>
      </c>
      <c r="I26" s="409">
        <v>1527970107.95</v>
      </c>
      <c r="J26" s="409">
        <v>1068582307.5</v>
      </c>
      <c r="K26" s="409">
        <v>1256106502.8899999</v>
      </c>
      <c r="L26" s="409">
        <v>926236016.32000005</v>
      </c>
      <c r="M26" s="409">
        <v>89641045.810000002</v>
      </c>
      <c r="N26" s="409">
        <v>941634204.92999983</v>
      </c>
      <c r="P26" s="410"/>
    </row>
    <row r="27" spans="1:18" s="399" customFormat="1" ht="14.4">
      <c r="A27" s="472" t="s">
        <v>171</v>
      </c>
      <c r="B27" s="472"/>
      <c r="C27" s="472"/>
      <c r="D27" s="472"/>
      <c r="E27" s="472"/>
      <c r="F27" s="472"/>
      <c r="G27" s="423" t="s">
        <v>394</v>
      </c>
      <c r="H27" s="414">
        <v>134428000.16</v>
      </c>
      <c r="I27" s="414">
        <v>46041299.889999993</v>
      </c>
      <c r="J27" s="414">
        <v>26430009.57</v>
      </c>
      <c r="K27" s="414">
        <v>28904667.360000007</v>
      </c>
      <c r="L27" s="414">
        <v>13488970.130000001</v>
      </c>
      <c r="M27" s="414">
        <v>3547347.5399999996</v>
      </c>
      <c r="N27" s="414">
        <v>16015705.67</v>
      </c>
      <c r="O27" s="398"/>
      <c r="P27" s="398"/>
      <c r="Q27" s="398"/>
      <c r="R27" s="398"/>
    </row>
    <row r="28" spans="1:18" s="399" customFormat="1" ht="15" thickBot="1">
      <c r="A28" s="473" t="s">
        <v>172</v>
      </c>
      <c r="B28" s="473"/>
      <c r="C28" s="473"/>
      <c r="D28" s="473"/>
      <c r="E28" s="473"/>
      <c r="F28" s="473"/>
      <c r="G28" s="424"/>
      <c r="H28" s="425">
        <v>5675742185.2399998</v>
      </c>
      <c r="I28" s="425">
        <v>1481928808.0599999</v>
      </c>
      <c r="J28" s="425">
        <v>1042152297.9299999</v>
      </c>
      <c r="K28" s="425">
        <v>1227201835.53</v>
      </c>
      <c r="L28" s="425">
        <v>912747046.19000006</v>
      </c>
      <c r="M28" s="425">
        <v>86093698.269999996</v>
      </c>
      <c r="N28" s="425">
        <v>925618499.25999987</v>
      </c>
      <c r="O28" s="398"/>
      <c r="P28" s="398"/>
      <c r="Q28" s="398"/>
      <c r="R28" s="398"/>
    </row>
    <row r="29" spans="1:18" s="399" customFormat="1" ht="15" thickTop="1">
      <c r="A29" s="474" t="s">
        <v>721</v>
      </c>
      <c r="B29" s="474"/>
      <c r="C29" s="474"/>
      <c r="D29" s="474"/>
      <c r="E29" s="474"/>
      <c r="F29" s="474"/>
      <c r="G29" s="424"/>
      <c r="H29" s="426">
        <v>1</v>
      </c>
      <c r="I29" s="427">
        <v>0.26109868272625503</v>
      </c>
      <c r="J29" s="427">
        <v>0.18361515796826708</v>
      </c>
      <c r="K29" s="427">
        <v>0.21621874205656991</v>
      </c>
      <c r="L29" s="427">
        <v>0.1608154522176212</v>
      </c>
      <c r="M29" s="427">
        <v>1.5168711942887433E-2</v>
      </c>
      <c r="N29" s="427">
        <v>0.16308325308839938</v>
      </c>
      <c r="O29" s="398"/>
      <c r="P29" s="398"/>
      <c r="Q29" s="398"/>
      <c r="R29" s="398"/>
    </row>
    <row r="30" spans="1:18" s="399" customFormat="1">
      <c r="F30" s="419"/>
      <c r="G30" s="419"/>
      <c r="H30" s="428"/>
      <c r="I30" s="428"/>
      <c r="J30" s="428"/>
      <c r="K30" s="429"/>
      <c r="L30" s="430"/>
      <c r="M30" s="430"/>
      <c r="N30" s="11"/>
      <c r="O30" s="398"/>
      <c r="P30" s="398"/>
      <c r="Q30" s="398"/>
      <c r="R30" s="398"/>
    </row>
    <row r="31" spans="1:18" s="399" customFormat="1">
      <c r="B31" s="399" t="s">
        <v>287</v>
      </c>
      <c r="O31" s="398"/>
      <c r="P31" s="398"/>
      <c r="Q31" s="398"/>
      <c r="R31" s="398"/>
    </row>
    <row r="32" spans="1:18" s="399" customFormat="1">
      <c r="A32" s="431" t="s">
        <v>693</v>
      </c>
      <c r="B32" s="398"/>
      <c r="O32" s="398"/>
      <c r="P32" s="398"/>
      <c r="Q32" s="398"/>
      <c r="R32" s="398"/>
    </row>
    <row r="33" spans="1:2" s="399" customFormat="1">
      <c r="A33" s="432" t="s">
        <v>12</v>
      </c>
      <c r="B33" s="399" t="s">
        <v>722</v>
      </c>
    </row>
    <row r="34" spans="1:2" s="399" customFormat="1">
      <c r="A34" s="432"/>
    </row>
  </sheetData>
  <mergeCells count="9">
    <mergeCell ref="A27:F27"/>
    <mergeCell ref="A28:F28"/>
    <mergeCell ref="A29:F29"/>
    <mergeCell ref="A3:N3"/>
    <mergeCell ref="A4:N4"/>
    <mergeCell ref="A5:N5"/>
    <mergeCell ref="D22:E22"/>
    <mergeCell ref="C24:E24"/>
    <mergeCell ref="A26:F26"/>
  </mergeCells>
  <pageMargins left="0.7" right="0.7" top="0.75" bottom="0.75" header="0.3" footer="0.3"/>
  <pageSetup scale="84" orientation="landscape" r:id="rId1"/>
  <headerFooter>
    <oddFooter>&amp;RWP 10a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7"/>
  <sheetViews>
    <sheetView workbookViewId="0"/>
  </sheetViews>
  <sheetFormatPr defaultColWidth="9.109375" defaultRowHeight="13.2"/>
  <cols>
    <col min="1" max="1" width="17.6640625" style="57" customWidth="1"/>
    <col min="2" max="3" width="9.109375" style="57"/>
    <col min="4" max="4" width="13.88671875" style="57" customWidth="1"/>
    <col min="5" max="5" width="12.44140625" style="57" customWidth="1"/>
    <col min="6" max="6" width="2.88671875" style="57" customWidth="1"/>
    <col min="7" max="7" width="14" style="57" customWidth="1"/>
    <col min="8" max="8" width="10.109375" style="57" bestFit="1" customWidth="1"/>
    <col min="9" max="16384" width="9.109375" style="57"/>
  </cols>
  <sheetData>
    <row r="1" spans="1:8">
      <c r="A1" s="96"/>
      <c r="H1" s="113"/>
    </row>
    <row r="3" spans="1:8">
      <c r="A3" s="54" t="s">
        <v>47</v>
      </c>
      <c r="B3" s="55"/>
      <c r="C3" s="56"/>
      <c r="D3" s="56"/>
      <c r="E3" s="56"/>
    </row>
    <row r="4" spans="1:8">
      <c r="A4" s="54" t="s">
        <v>663</v>
      </c>
      <c r="B4" s="55"/>
      <c r="C4" s="56"/>
      <c r="D4" s="56"/>
      <c r="E4" s="56"/>
    </row>
    <row r="5" spans="1:8">
      <c r="A5" s="54" t="s">
        <v>108</v>
      </c>
      <c r="B5" s="55"/>
      <c r="C5" s="56"/>
      <c r="D5" s="56"/>
      <c r="E5" s="56"/>
    </row>
    <row r="6" spans="1:8">
      <c r="A6" s="54" t="s">
        <v>673</v>
      </c>
      <c r="B6" s="55"/>
      <c r="C6" s="56"/>
      <c r="D6" s="56"/>
      <c r="E6" s="56"/>
    </row>
    <row r="9" spans="1:8">
      <c r="D9" s="58" t="s">
        <v>109</v>
      </c>
      <c r="E9" s="58" t="s">
        <v>110</v>
      </c>
    </row>
    <row r="10" spans="1:8">
      <c r="A10" s="59" t="s">
        <v>111</v>
      </c>
      <c r="D10" s="60">
        <v>0.35</v>
      </c>
      <c r="E10" s="61">
        <v>6.5000000000000002E-2</v>
      </c>
      <c r="F10" s="62"/>
    </row>
    <row r="11" spans="1:8">
      <c r="A11" s="59" t="s">
        <v>112</v>
      </c>
      <c r="D11" s="60">
        <v>0.35</v>
      </c>
      <c r="E11" s="61">
        <v>0.08</v>
      </c>
      <c r="F11" s="63" t="s">
        <v>113</v>
      </c>
    </row>
    <row r="12" spans="1:8">
      <c r="A12" s="59" t="s">
        <v>114</v>
      </c>
      <c r="D12" s="60">
        <v>0.35</v>
      </c>
      <c r="E12" s="61">
        <v>0.05</v>
      </c>
    </row>
    <row r="13" spans="1:8">
      <c r="A13" s="57" t="s">
        <v>115</v>
      </c>
      <c r="D13" s="60">
        <v>0.35</v>
      </c>
      <c r="E13" s="61">
        <v>0</v>
      </c>
    </row>
    <row r="14" spans="1:8">
      <c r="E14" s="61"/>
    </row>
    <row r="15" spans="1:8">
      <c r="E15" s="61"/>
    </row>
    <row r="16" spans="1:8">
      <c r="E16" s="61"/>
    </row>
    <row r="17" spans="1:5">
      <c r="E17" s="61"/>
    </row>
    <row r="18" spans="1:5">
      <c r="E18" s="61"/>
    </row>
    <row r="19" spans="1:5">
      <c r="E19" s="61"/>
    </row>
    <row r="20" spans="1:5">
      <c r="E20" s="61"/>
    </row>
    <row r="21" spans="1:5">
      <c r="E21" s="61"/>
    </row>
    <row r="22" spans="1:5">
      <c r="E22" s="61"/>
    </row>
    <row r="23" spans="1:5">
      <c r="E23" s="61"/>
    </row>
    <row r="24" spans="1:5">
      <c r="E24" s="61"/>
    </row>
    <row r="27" spans="1:5">
      <c r="A27" s="64" t="s">
        <v>116</v>
      </c>
    </row>
  </sheetData>
  <phoneticPr fontId="36" type="noConversion"/>
  <printOptions horizontalCentered="1"/>
  <pageMargins left="0.7" right="0.7" top="0.75" bottom="0.75" header="0.3" footer="0.3"/>
  <pageSetup orientation="portrait"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18"/>
  <sheetViews>
    <sheetView workbookViewId="0"/>
  </sheetViews>
  <sheetFormatPr defaultRowHeight="14.4"/>
  <cols>
    <col min="1" max="1" width="27" customWidth="1"/>
    <col min="2" max="2" width="1.6640625" customWidth="1"/>
    <col min="3" max="3" width="10.88671875" customWidth="1"/>
    <col min="4" max="4" width="2" customWidth="1"/>
    <col min="5" max="5" width="9.88671875" customWidth="1"/>
    <col min="6" max="6" width="2.33203125" customWidth="1"/>
    <col min="7" max="7" width="9.88671875" customWidth="1"/>
    <col min="8" max="8" width="2.33203125" customWidth="1"/>
    <col min="9" max="9" width="9.88671875" customWidth="1"/>
    <col min="10" max="10" width="2.33203125" customWidth="1"/>
    <col min="11" max="11" width="8.33203125" customWidth="1"/>
    <col min="12" max="12" width="2.33203125" customWidth="1"/>
    <col min="13" max="13" width="9.88671875" customWidth="1"/>
    <col min="14" max="14" width="2.33203125" customWidth="1"/>
  </cols>
  <sheetData>
    <row r="1" spans="1:13">
      <c r="A1" s="96"/>
      <c r="M1" s="113"/>
    </row>
    <row r="3" spans="1:13">
      <c r="A3" s="478" t="s">
        <v>47</v>
      </c>
      <c r="B3" s="478"/>
      <c r="C3" s="478"/>
      <c r="D3" s="478"/>
      <c r="E3" s="478"/>
      <c r="F3" s="478"/>
      <c r="G3" s="478"/>
      <c r="H3" s="478"/>
      <c r="I3" s="478"/>
      <c r="J3" s="478"/>
      <c r="K3" s="478"/>
      <c r="L3" s="478"/>
      <c r="M3" s="478"/>
    </row>
    <row r="4" spans="1:13">
      <c r="A4" s="478" t="s">
        <v>48</v>
      </c>
      <c r="B4" s="478"/>
      <c r="C4" s="478"/>
      <c r="D4" s="478"/>
      <c r="E4" s="478"/>
      <c r="F4" s="478"/>
      <c r="G4" s="478"/>
      <c r="H4" s="478"/>
      <c r="I4" s="478"/>
      <c r="J4" s="478"/>
      <c r="K4" s="478"/>
      <c r="L4" s="478"/>
      <c r="M4" s="478"/>
    </row>
    <row r="5" spans="1:13">
      <c r="A5" s="478" t="s">
        <v>49</v>
      </c>
      <c r="B5" s="478"/>
      <c r="C5" s="478"/>
      <c r="D5" s="478"/>
      <c r="E5" s="478"/>
      <c r="F5" s="478"/>
      <c r="G5" s="478"/>
      <c r="H5" s="478"/>
      <c r="I5" s="478"/>
      <c r="J5" s="478"/>
      <c r="K5" s="478"/>
      <c r="L5" s="478"/>
      <c r="M5" s="478"/>
    </row>
    <row r="6" spans="1:13">
      <c r="A6" s="478" t="s">
        <v>660</v>
      </c>
      <c r="B6" s="478"/>
      <c r="C6" s="478"/>
      <c r="D6" s="478"/>
      <c r="E6" s="478"/>
      <c r="F6" s="478"/>
      <c r="G6" s="478"/>
      <c r="H6" s="478"/>
      <c r="I6" s="478"/>
      <c r="J6" s="478"/>
      <c r="K6" s="478"/>
      <c r="L6" s="478"/>
      <c r="M6" s="478"/>
    </row>
    <row r="8" spans="1:13" ht="15" thickBot="1"/>
    <row r="9" spans="1:13" s="22" customFormat="1">
      <c r="A9" s="21" t="s">
        <v>50</v>
      </c>
      <c r="C9" s="21" t="s">
        <v>33</v>
      </c>
      <c r="E9" s="21" t="s">
        <v>34</v>
      </c>
      <c r="G9" s="21" t="s">
        <v>35</v>
      </c>
      <c r="I9" s="23" t="s">
        <v>25</v>
      </c>
      <c r="K9" s="25" t="s">
        <v>36</v>
      </c>
      <c r="M9" s="21" t="s">
        <v>37</v>
      </c>
    </row>
    <row r="10" spans="1:13" ht="8.25" customHeight="1">
      <c r="I10" s="24"/>
    </row>
    <row r="11" spans="1:13">
      <c r="A11" t="s">
        <v>51</v>
      </c>
      <c r="C11" s="87">
        <v>10162141.65</v>
      </c>
      <c r="D11" s="87"/>
      <c r="E11" s="87">
        <v>7172324.6500000004</v>
      </c>
      <c r="F11" s="87"/>
      <c r="G11" s="87">
        <v>8245529</v>
      </c>
      <c r="H11" s="87"/>
      <c r="I11" s="88">
        <v>1728435.74</v>
      </c>
      <c r="J11" s="87"/>
      <c r="K11" s="87">
        <v>715848.45000000007</v>
      </c>
      <c r="L11" s="87"/>
      <c r="M11" s="87">
        <v>1837464</v>
      </c>
    </row>
    <row r="12" spans="1:13">
      <c r="A12" t="s">
        <v>52</v>
      </c>
      <c r="C12" s="87">
        <v>199.54000000000002</v>
      </c>
      <c r="D12" s="87"/>
      <c r="E12" s="87">
        <v>184.01</v>
      </c>
      <c r="F12" s="87"/>
      <c r="G12" s="87">
        <v>204.20999999999998</v>
      </c>
      <c r="H12" s="87"/>
      <c r="I12" s="88">
        <v>31.540000000000003</v>
      </c>
      <c r="J12" s="87"/>
      <c r="K12" s="87">
        <v>11.41</v>
      </c>
      <c r="L12" s="87"/>
      <c r="M12" s="87">
        <v>29.52</v>
      </c>
    </row>
    <row r="13" spans="1:13">
      <c r="A13" t="s">
        <v>53</v>
      </c>
      <c r="C13" s="87">
        <v>66.94</v>
      </c>
      <c r="D13" s="87"/>
      <c r="E13" s="87">
        <v>59.23</v>
      </c>
      <c r="F13" s="87"/>
      <c r="G13" s="87">
        <v>68.55</v>
      </c>
      <c r="H13" s="87"/>
      <c r="I13" s="88">
        <v>15.61</v>
      </c>
      <c r="J13" s="87"/>
      <c r="K13" s="87">
        <v>6.37</v>
      </c>
      <c r="L13" s="87"/>
      <c r="M13" s="87">
        <v>16.25</v>
      </c>
    </row>
    <row r="14" spans="1:13">
      <c r="A14" t="s">
        <v>651</v>
      </c>
      <c r="C14" s="87">
        <v>728350.81</v>
      </c>
      <c r="D14" s="87"/>
      <c r="E14" s="87">
        <v>541561.93999999994</v>
      </c>
      <c r="F14" s="87"/>
      <c r="G14" s="87">
        <v>800944.0199999999</v>
      </c>
      <c r="H14" s="87"/>
      <c r="I14" s="88">
        <v>350097.28</v>
      </c>
      <c r="J14" s="87"/>
      <c r="K14" s="87">
        <v>134244.29999999999</v>
      </c>
      <c r="L14" s="87"/>
      <c r="M14" s="87">
        <v>357416.18000000005</v>
      </c>
    </row>
    <row r="15" spans="1:13">
      <c r="A15" t="s">
        <v>54</v>
      </c>
      <c r="C15" s="87">
        <v>70444.87999999999</v>
      </c>
      <c r="D15" s="87"/>
      <c r="E15" s="87">
        <v>52629.14</v>
      </c>
      <c r="F15" s="87"/>
      <c r="G15" s="87">
        <v>81317.959999999992</v>
      </c>
      <c r="H15" s="87"/>
      <c r="I15" s="88">
        <v>31964.09</v>
      </c>
      <c r="J15" s="87"/>
      <c r="K15" s="87">
        <v>12565.150000000001</v>
      </c>
      <c r="L15" s="87"/>
      <c r="M15" s="87">
        <v>33846.879999999997</v>
      </c>
    </row>
    <row r="16" spans="1:13">
      <c r="A16" t="s">
        <v>55</v>
      </c>
      <c r="C16" s="87">
        <v>380.65000000000003</v>
      </c>
      <c r="D16" s="87"/>
      <c r="E16" s="87">
        <v>279.77999999999997</v>
      </c>
      <c r="F16" s="87"/>
      <c r="G16" s="87">
        <v>417.16</v>
      </c>
      <c r="H16" s="87"/>
      <c r="I16" s="88">
        <v>190.12</v>
      </c>
      <c r="J16" s="87"/>
      <c r="K16" s="87">
        <v>73.08</v>
      </c>
      <c r="L16" s="87"/>
      <c r="M16" s="87">
        <v>194.01000000000002</v>
      </c>
    </row>
    <row r="17" spans="1:13" ht="15" thickBot="1">
      <c r="A17" t="s">
        <v>56</v>
      </c>
      <c r="C17" s="89">
        <f>SUM(C11:C16)</f>
        <v>10961584.470000001</v>
      </c>
      <c r="D17" s="87"/>
      <c r="E17" s="89">
        <f>SUM(E11:E16)</f>
        <v>7767038.75</v>
      </c>
      <c r="F17" s="87"/>
      <c r="G17" s="89">
        <f>SUM(G11:G16)</f>
        <v>9128480.9000000004</v>
      </c>
      <c r="H17" s="87"/>
      <c r="I17" s="90">
        <f>SUM(I11:I16)</f>
        <v>2110734.3800000004</v>
      </c>
      <c r="J17" s="87"/>
      <c r="K17" s="89">
        <f>SUM(K11:K16)</f>
        <v>862748.76</v>
      </c>
      <c r="L17" s="87"/>
      <c r="M17" s="89">
        <f>SUM(M11:M16)</f>
        <v>2228966.84</v>
      </c>
    </row>
    <row r="18" spans="1:13" ht="15" thickTop="1"/>
  </sheetData>
  <mergeCells count="4">
    <mergeCell ref="A3:M3"/>
    <mergeCell ref="A4:M4"/>
    <mergeCell ref="A5:M5"/>
    <mergeCell ref="A6:M6"/>
  </mergeCells>
  <phoneticPr fontId="36" type="noConversion"/>
  <pageMargins left="0.7" right="0.7" top="0.75" bottom="0.75" header="0.3" footer="0.3"/>
  <pageSetup scale="92"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2"/>
  <sheetViews>
    <sheetView topLeftCell="A3" workbookViewId="0">
      <selection activeCell="E8" sqref="E8"/>
    </sheetView>
  </sheetViews>
  <sheetFormatPr defaultColWidth="9.109375" defaultRowHeight="13.2"/>
  <cols>
    <col min="1" max="1" width="3" style="50" bestFit="1" customWidth="1"/>
    <col min="2" max="2" width="23" style="50" customWidth="1"/>
    <col min="3" max="3" width="19.5546875" style="50" bestFit="1" customWidth="1"/>
    <col min="4" max="4" width="0.88671875" style="50" customWidth="1"/>
    <col min="5" max="5" width="14.109375" style="50" bestFit="1" customWidth="1"/>
    <col min="6" max="16384" width="9.109375" style="50"/>
  </cols>
  <sheetData>
    <row r="1" spans="1:5">
      <c r="A1" s="96"/>
    </row>
    <row r="2" spans="1:5">
      <c r="A2" s="479" t="s">
        <v>0</v>
      </c>
      <c r="B2" s="479"/>
      <c r="C2" s="479"/>
      <c r="D2" s="479"/>
      <c r="E2" s="479"/>
    </row>
    <row r="3" spans="1:5">
      <c r="A3" s="479" t="s">
        <v>89</v>
      </c>
      <c r="B3" s="479"/>
      <c r="C3" s="479"/>
      <c r="D3" s="479"/>
      <c r="E3" s="479"/>
    </row>
    <row r="4" spans="1:5">
      <c r="A4" s="479" t="s">
        <v>90</v>
      </c>
      <c r="B4" s="479"/>
      <c r="C4" s="479"/>
      <c r="D4" s="479"/>
      <c r="E4" s="479"/>
    </row>
    <row r="5" spans="1:5">
      <c r="A5" s="479" t="s">
        <v>664</v>
      </c>
      <c r="B5" s="479"/>
      <c r="C5" s="479"/>
      <c r="D5" s="479"/>
      <c r="E5" s="479"/>
    </row>
    <row r="7" spans="1:5" s="341" customFormat="1" ht="16.8">
      <c r="A7" s="340" t="s">
        <v>127</v>
      </c>
      <c r="C7" s="370" t="s">
        <v>701</v>
      </c>
      <c r="E7" s="342" t="s">
        <v>25</v>
      </c>
    </row>
    <row r="8" spans="1:5">
      <c r="A8" s="50">
        <v>1</v>
      </c>
      <c r="B8" s="50" t="s">
        <v>92</v>
      </c>
      <c r="C8" s="50" t="s">
        <v>702</v>
      </c>
      <c r="E8" s="51">
        <f>'WP 13a'!C9</f>
        <v>38889339.61999999</v>
      </c>
    </row>
    <row r="9" spans="1:5">
      <c r="A9" s="50">
        <v>2</v>
      </c>
      <c r="B9" s="50" t="s">
        <v>93</v>
      </c>
      <c r="C9" s="50" t="s">
        <v>702</v>
      </c>
      <c r="E9" s="245">
        <f>-'WP 13a'!C18</f>
        <v>-3656426.8736250312</v>
      </c>
    </row>
    <row r="10" spans="1:5">
      <c r="A10" s="50">
        <v>3</v>
      </c>
      <c r="B10" s="50" t="s">
        <v>94</v>
      </c>
      <c r="C10" s="50" t="s">
        <v>128</v>
      </c>
      <c r="E10" s="51">
        <f t="shared" ref="E10" si="0">SUM(E8:E9)</f>
        <v>35232912.746374957</v>
      </c>
    </row>
    <row r="11" spans="1:5">
      <c r="A11" s="50">
        <v>4</v>
      </c>
      <c r="B11" s="50" t="s">
        <v>95</v>
      </c>
      <c r="E11" s="52">
        <v>0.98543678984946748</v>
      </c>
    </row>
    <row r="12" spans="1:5">
      <c r="A12" s="50">
        <v>5</v>
      </c>
      <c r="B12" s="50" t="s">
        <v>96</v>
      </c>
      <c r="C12" s="50" t="s">
        <v>158</v>
      </c>
      <c r="E12" s="51">
        <f t="shared" ref="E12" si="1">+E10*E11</f>
        <v>34719808.433834121</v>
      </c>
    </row>
    <row r="13" spans="1:5">
      <c r="E13" s="51"/>
    </row>
    <row r="14" spans="1:5">
      <c r="E14" s="51"/>
    </row>
    <row r="15" spans="1:5">
      <c r="A15" s="50">
        <v>6</v>
      </c>
      <c r="B15" s="50" t="s">
        <v>63</v>
      </c>
      <c r="C15" s="50" t="s">
        <v>702</v>
      </c>
      <c r="E15" s="51">
        <f>'WP 13a'!C27</f>
        <v>-14622323</v>
      </c>
    </row>
    <row r="16" spans="1:5">
      <c r="A16" s="50">
        <v>7</v>
      </c>
      <c r="B16" s="50" t="s">
        <v>97</v>
      </c>
      <c r="E16" s="208">
        <v>0.26536615967020488</v>
      </c>
    </row>
    <row r="17" spans="1:5">
      <c r="A17" s="50">
        <v>8</v>
      </c>
      <c r="B17" s="50" t="s">
        <v>98</v>
      </c>
      <c r="C17" s="50" t="s">
        <v>159</v>
      </c>
      <c r="E17" s="51">
        <f t="shared" ref="E17" si="2">+E15*E16</f>
        <v>-3880269.6999673094</v>
      </c>
    </row>
    <row r="18" spans="1:5">
      <c r="E18" s="91"/>
    </row>
    <row r="19" spans="1:5">
      <c r="A19" s="50">
        <v>9</v>
      </c>
      <c r="B19" s="50" t="s">
        <v>99</v>
      </c>
      <c r="C19" s="50" t="s">
        <v>129</v>
      </c>
      <c r="E19" s="53">
        <f t="shared" ref="E19" si="3">+E12+E17</f>
        <v>30839538.733866811</v>
      </c>
    </row>
    <row r="21" spans="1:5">
      <c r="A21" s="50">
        <v>10</v>
      </c>
      <c r="B21" s="50" t="s">
        <v>100</v>
      </c>
      <c r="E21" s="361">
        <v>8.5908751938307215E-2</v>
      </c>
    </row>
    <row r="22" spans="1:5">
      <c r="A22" s="50">
        <v>11</v>
      </c>
      <c r="B22" s="50" t="s">
        <v>101</v>
      </c>
      <c r="C22" s="50" t="s">
        <v>160</v>
      </c>
      <c r="E22" s="53">
        <f t="shared" ref="E22" si="4">+E19*E21</f>
        <v>2649386.282979581</v>
      </c>
    </row>
    <row r="24" spans="1:5">
      <c r="A24" s="50">
        <v>12</v>
      </c>
      <c r="B24" s="50" t="s">
        <v>102</v>
      </c>
      <c r="E24" s="209">
        <v>0.42191371048253973</v>
      </c>
    </row>
    <row r="25" spans="1:5">
      <c r="A25" s="50">
        <v>13</v>
      </c>
      <c r="B25" s="50" t="s">
        <v>103</v>
      </c>
      <c r="C25" s="50" t="s">
        <v>161</v>
      </c>
      <c r="E25" s="53">
        <f t="shared" ref="E25" si="5">+E24*E22</f>
        <v>1117812.397153459</v>
      </c>
    </row>
    <row r="28" spans="1:5">
      <c r="A28" s="50">
        <v>14</v>
      </c>
      <c r="B28" s="50" t="s">
        <v>104</v>
      </c>
      <c r="C28" s="50" t="s">
        <v>702</v>
      </c>
      <c r="E28" s="51">
        <f>'WP 13a'!C36</f>
        <v>906122.34284375003</v>
      </c>
    </row>
    <row r="29" spans="1:5">
      <c r="A29" s="50">
        <v>15</v>
      </c>
      <c r="B29" s="50" t="s">
        <v>95</v>
      </c>
      <c r="E29" s="52">
        <f t="shared" ref="E29" si="6">E11</f>
        <v>0.98543678984946748</v>
      </c>
    </row>
    <row r="30" spans="1:5">
      <c r="A30" s="50">
        <v>16</v>
      </c>
      <c r="B30" s="50" t="s">
        <v>105</v>
      </c>
      <c r="C30" s="50" t="s">
        <v>162</v>
      </c>
      <c r="E30" s="51">
        <f t="shared" ref="E30" si="7">+E28*E29</f>
        <v>892926.2927428236</v>
      </c>
    </row>
    <row r="31" spans="1:5">
      <c r="E31" s="91"/>
    </row>
    <row r="32" spans="1:5" ht="13.8" thickBot="1">
      <c r="A32" s="50">
        <v>17</v>
      </c>
      <c r="B32" s="50" t="s">
        <v>90</v>
      </c>
      <c r="C32" s="50" t="s">
        <v>130</v>
      </c>
      <c r="E32" s="246">
        <f>+E22+E25+E30</f>
        <v>4660124.9728758633</v>
      </c>
    </row>
  </sheetData>
  <mergeCells count="4">
    <mergeCell ref="A3:E3"/>
    <mergeCell ref="A4:E4"/>
    <mergeCell ref="A5:E5"/>
    <mergeCell ref="A2:E2"/>
  </mergeCells>
  <phoneticPr fontId="36" type="noConversion"/>
  <printOptions horizontalCentered="1"/>
  <pageMargins left="0.7" right="0.7" top="0.75" bottom="0.75" header="0.3" footer="0.3"/>
  <pageSetup orientation="portrait"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opLeftCell="A9" zoomScaleNormal="100" workbookViewId="0">
      <selection activeCell="C9" sqref="C9"/>
    </sheetView>
  </sheetViews>
  <sheetFormatPr defaultColWidth="9.109375" defaultRowHeight="13.2"/>
  <cols>
    <col min="1" max="1" width="11.44140625" style="325" customWidth="1"/>
    <col min="2" max="2" width="38.6640625" style="325" customWidth="1"/>
    <col min="3" max="3" width="15" style="325" customWidth="1"/>
    <col min="4" max="13" width="15" style="325" bestFit="1" customWidth="1"/>
    <col min="14" max="14" width="15.5546875" style="325" customWidth="1"/>
    <col min="15" max="15" width="15" style="325" bestFit="1" customWidth="1"/>
    <col min="16" max="16384" width="9.109375" style="325"/>
  </cols>
  <sheetData>
    <row r="1" spans="1:14" ht="15" customHeight="1">
      <c r="A1" s="481" t="s">
        <v>106</v>
      </c>
      <c r="B1" s="481"/>
      <c r="C1" s="481"/>
      <c r="D1" s="324"/>
      <c r="E1" s="324"/>
      <c r="F1" s="324"/>
      <c r="G1" s="324"/>
      <c r="H1" s="324"/>
      <c r="I1" s="324"/>
      <c r="J1" s="324"/>
      <c r="K1" s="324"/>
      <c r="L1" s="324"/>
      <c r="M1" s="324"/>
      <c r="N1" s="324"/>
    </row>
    <row r="2" spans="1:14" ht="15" customHeight="1">
      <c r="A2" s="481" t="s">
        <v>131</v>
      </c>
      <c r="B2" s="481"/>
      <c r="C2" s="481"/>
      <c r="D2" s="481"/>
      <c r="E2" s="481"/>
      <c r="F2" s="481"/>
      <c r="G2" s="481"/>
      <c r="H2" s="481"/>
      <c r="I2" s="481"/>
      <c r="J2" s="481"/>
      <c r="K2" s="481"/>
      <c r="L2" s="481"/>
      <c r="M2" s="481"/>
      <c r="N2" s="481"/>
    </row>
    <row r="3" spans="1:14" ht="15" customHeight="1">
      <c r="A3" s="480" t="s">
        <v>658</v>
      </c>
      <c r="B3" s="481"/>
      <c r="C3" s="481"/>
      <c r="D3" s="481"/>
      <c r="E3" s="481"/>
      <c r="F3" s="481"/>
      <c r="G3" s="481"/>
      <c r="H3" s="481"/>
      <c r="I3" s="481"/>
      <c r="J3" s="481"/>
      <c r="K3" s="481"/>
      <c r="L3" s="481"/>
      <c r="M3" s="481"/>
      <c r="N3" s="481"/>
    </row>
    <row r="4" spans="1:14" ht="15" customHeight="1"/>
    <row r="5" spans="1:14" ht="15" customHeight="1">
      <c r="A5" s="92" t="s">
        <v>132</v>
      </c>
      <c r="C5" s="326">
        <v>41639</v>
      </c>
      <c r="D5" s="327"/>
    </row>
    <row r="6" spans="1:14" ht="14.4">
      <c r="A6" s="328" t="s">
        <v>33</v>
      </c>
      <c r="C6" s="330">
        <v>16759097.959999999</v>
      </c>
      <c r="D6" s="329"/>
    </row>
    <row r="7" spans="1:14" ht="14.4">
      <c r="A7" s="328" t="s">
        <v>34</v>
      </c>
      <c r="C7" s="330">
        <v>30879484.91</v>
      </c>
      <c r="D7" s="329"/>
    </row>
    <row r="8" spans="1:14" ht="14.4">
      <c r="A8" s="328" t="s">
        <v>35</v>
      </c>
      <c r="C8" s="331">
        <v>97854299.560000017</v>
      </c>
      <c r="D8" s="329"/>
    </row>
    <row r="9" spans="1:14" ht="14.4">
      <c r="A9" s="328" t="s">
        <v>25</v>
      </c>
      <c r="C9" s="343">
        <v>38889339.61999999</v>
      </c>
      <c r="D9" s="329"/>
    </row>
    <row r="10" spans="1:14" ht="14.4">
      <c r="A10" s="328" t="s">
        <v>36</v>
      </c>
      <c r="C10" s="345">
        <v>0</v>
      </c>
      <c r="D10" s="329"/>
    </row>
    <row r="11" spans="1:14" ht="14.4">
      <c r="A11" s="328" t="s">
        <v>37</v>
      </c>
      <c r="C11" s="332">
        <v>12786670.640000002</v>
      </c>
      <c r="D11" s="329"/>
    </row>
    <row r="12" spans="1:14" ht="14.4">
      <c r="A12" s="92" t="s">
        <v>133</v>
      </c>
      <c r="C12" s="331">
        <f t="shared" ref="C12" si="0">SUM(C6:C11)</f>
        <v>197168892.69000003</v>
      </c>
      <c r="D12" s="329"/>
    </row>
    <row r="13" spans="1:14" ht="14.4">
      <c r="C13" s="331"/>
      <c r="D13" s="329"/>
      <c r="F13" s="333"/>
    </row>
    <row r="14" spans="1:14" ht="14.4">
      <c r="A14" s="92" t="s">
        <v>134</v>
      </c>
      <c r="C14" s="326">
        <v>41639</v>
      </c>
      <c r="D14" s="334"/>
    </row>
    <row r="15" spans="1:14" ht="14.4">
      <c r="A15" s="328" t="s">
        <v>33</v>
      </c>
      <c r="B15" s="335"/>
      <c r="C15" s="330">
        <v>349362.90053458844</v>
      </c>
      <c r="D15" s="329"/>
    </row>
    <row r="16" spans="1:14" ht="14.4">
      <c r="A16" s="328" t="s">
        <v>34</v>
      </c>
      <c r="B16" s="335"/>
      <c r="C16" s="330">
        <v>1636193.4068254579</v>
      </c>
      <c r="D16" s="329"/>
    </row>
    <row r="17" spans="1:15" ht="14.4">
      <c r="A17" s="328" t="s">
        <v>35</v>
      </c>
      <c r="B17" s="335"/>
      <c r="C17" s="331">
        <v>12214210.972689023</v>
      </c>
      <c r="D17" s="329"/>
    </row>
    <row r="18" spans="1:15" ht="14.4">
      <c r="A18" s="328" t="s">
        <v>25</v>
      </c>
      <c r="B18" s="335"/>
      <c r="C18" s="343">
        <v>3656426.8736250312</v>
      </c>
      <c r="D18" s="329"/>
    </row>
    <row r="19" spans="1:15" ht="14.4">
      <c r="A19" s="328" t="s">
        <v>36</v>
      </c>
      <c r="B19" s="335"/>
      <c r="C19" s="345">
        <v>0</v>
      </c>
      <c r="D19" s="329"/>
    </row>
    <row r="20" spans="1:15" ht="14.4">
      <c r="A20" s="328" t="s">
        <v>37</v>
      </c>
      <c r="B20" s="335"/>
      <c r="C20" s="332">
        <v>557886.3989163501</v>
      </c>
      <c r="D20" s="329"/>
    </row>
    <row r="21" spans="1:15" ht="14.4">
      <c r="A21" s="93" t="s">
        <v>135</v>
      </c>
      <c r="B21" s="335"/>
      <c r="C21" s="331">
        <f t="shared" ref="C21" si="1">SUM(C15:C20)</f>
        <v>18414080.552590448</v>
      </c>
      <c r="D21" s="329"/>
    </row>
    <row r="22" spans="1:15" ht="14.4">
      <c r="C22" s="331"/>
      <c r="D22" s="331"/>
    </row>
    <row r="23" spans="1:15">
      <c r="A23" s="92" t="s">
        <v>684</v>
      </c>
      <c r="C23" s="326">
        <v>41639</v>
      </c>
    </row>
    <row r="24" spans="1:15" ht="14.4">
      <c r="A24" s="328" t="s">
        <v>33</v>
      </c>
      <c r="C24" s="330">
        <v>-374198</v>
      </c>
      <c r="O24" s="333"/>
    </row>
    <row r="25" spans="1:15" ht="14.4">
      <c r="A25" s="328" t="s">
        <v>34</v>
      </c>
      <c r="C25" s="330">
        <v>-2797188</v>
      </c>
      <c r="D25" s="336"/>
      <c r="E25" s="336"/>
      <c r="F25" s="336"/>
      <c r="G25" s="336"/>
      <c r="H25" s="336"/>
    </row>
    <row r="26" spans="1:15" ht="14.4">
      <c r="A26" s="328" t="s">
        <v>35</v>
      </c>
      <c r="C26" s="331">
        <v>-24154008</v>
      </c>
      <c r="D26" s="336"/>
      <c r="E26" s="336"/>
      <c r="F26" s="336"/>
      <c r="G26" s="336"/>
      <c r="H26" s="336"/>
    </row>
    <row r="27" spans="1:15" ht="14.4">
      <c r="A27" s="328" t="s">
        <v>25</v>
      </c>
      <c r="C27" s="343">
        <v>-14622323</v>
      </c>
      <c r="D27" s="336"/>
      <c r="E27" s="336"/>
      <c r="F27" s="336"/>
      <c r="G27" s="336"/>
      <c r="H27" s="336"/>
    </row>
    <row r="28" spans="1:15" ht="14.4">
      <c r="A28" s="328" t="s">
        <v>36</v>
      </c>
      <c r="C28" s="345">
        <v>0</v>
      </c>
      <c r="D28" s="336"/>
      <c r="E28" s="336"/>
      <c r="F28" s="336"/>
      <c r="G28" s="336"/>
      <c r="H28" s="336"/>
    </row>
    <row r="29" spans="1:15" ht="14.4">
      <c r="A29" s="328" t="s">
        <v>37</v>
      </c>
      <c r="C29" s="332">
        <v>-3929909</v>
      </c>
      <c r="D29" s="336"/>
      <c r="E29" s="336"/>
      <c r="F29" s="336"/>
      <c r="G29" s="336"/>
      <c r="H29" s="336"/>
    </row>
    <row r="30" spans="1:15" ht="14.4">
      <c r="A30" s="93" t="s">
        <v>685</v>
      </c>
      <c r="C30" s="331">
        <f>SUM(C24:C29)</f>
        <v>-45877626</v>
      </c>
      <c r="D30" s="336"/>
      <c r="E30" s="336"/>
      <c r="F30" s="336"/>
      <c r="G30" s="336"/>
      <c r="H30" s="336"/>
    </row>
    <row r="31" spans="1:15">
      <c r="A31" s="328"/>
      <c r="C31" s="336"/>
      <c r="D31" s="336"/>
      <c r="E31" s="336"/>
      <c r="F31" s="336"/>
      <c r="G31" s="336"/>
      <c r="H31" s="336"/>
    </row>
    <row r="32" spans="1:15" ht="14.4">
      <c r="A32" s="92" t="s">
        <v>614</v>
      </c>
      <c r="C32" s="337" t="s">
        <v>615</v>
      </c>
      <c r="D32" s="338"/>
    </row>
    <row r="33" spans="1:3" ht="14.4">
      <c r="A33" s="328" t="s">
        <v>33</v>
      </c>
      <c r="C33" s="339">
        <v>110137.84929133335</v>
      </c>
    </row>
    <row r="34" spans="1:3" ht="14.4">
      <c r="A34" s="328" t="s">
        <v>34</v>
      </c>
      <c r="C34" s="339">
        <v>443858.94356639998</v>
      </c>
    </row>
    <row r="35" spans="1:3" ht="14.4">
      <c r="A35" s="328" t="s">
        <v>35</v>
      </c>
      <c r="C35" s="329">
        <v>2753309.9282212509</v>
      </c>
    </row>
    <row r="36" spans="1:3" ht="14.4">
      <c r="A36" s="328" t="s">
        <v>25</v>
      </c>
      <c r="C36" s="344">
        <v>906122.34284375003</v>
      </c>
    </row>
    <row r="37" spans="1:3" ht="14.4">
      <c r="A37" s="328" t="s">
        <v>36</v>
      </c>
      <c r="C37" s="346">
        <v>0</v>
      </c>
    </row>
    <row r="38" spans="1:3" ht="14.4">
      <c r="A38" s="328" t="s">
        <v>37</v>
      </c>
      <c r="C38" s="332">
        <v>261803.78536800013</v>
      </c>
    </row>
    <row r="39" spans="1:3" ht="14.4">
      <c r="A39" s="92" t="s">
        <v>616</v>
      </c>
      <c r="C39" s="329">
        <f>SUM(C33:C38)</f>
        <v>4475232.8492907351</v>
      </c>
    </row>
    <row r="40" spans="1:3">
      <c r="A40" s="328"/>
    </row>
  </sheetData>
  <mergeCells count="11">
    <mergeCell ref="M2:N2"/>
    <mergeCell ref="A1:C1"/>
    <mergeCell ref="A2:C2"/>
    <mergeCell ref="D2:F2"/>
    <mergeCell ref="G2:I2"/>
    <mergeCell ref="J2:L2"/>
    <mergeCell ref="A3:C3"/>
    <mergeCell ref="D3:F3"/>
    <mergeCell ref="G3:I3"/>
    <mergeCell ref="J3:L3"/>
    <mergeCell ref="M3:N3"/>
  </mergeCells>
  <printOptions horizontalCentered="1"/>
  <pageMargins left="0.7" right="0.7" top="0.75" bottom="0.75" header="0.3" footer="0.3"/>
  <pageSetup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V39"/>
  <sheetViews>
    <sheetView workbookViewId="0">
      <selection activeCell="K17" sqref="K17"/>
    </sheetView>
  </sheetViews>
  <sheetFormatPr defaultColWidth="9.109375" defaultRowHeight="13.2"/>
  <cols>
    <col min="1" max="1" width="5.6640625" style="349" customWidth="1"/>
    <col min="2" max="2" width="9.109375" style="247"/>
    <col min="3" max="3" width="12.33203125" style="247" bestFit="1" customWidth="1"/>
    <col min="4" max="4" width="4.88671875" style="247" customWidth="1"/>
    <col min="5" max="6" width="13.44140625" style="247" bestFit="1" customWidth="1"/>
    <col min="7" max="7" width="14" style="247" bestFit="1" customWidth="1"/>
    <col min="8" max="8" width="12.33203125" style="247" bestFit="1" customWidth="1"/>
    <col min="9" max="9" width="11.33203125" style="247" bestFit="1" customWidth="1"/>
    <col min="10" max="10" width="12.33203125" style="247" bestFit="1" customWidth="1"/>
    <col min="11" max="11" width="14" style="247" bestFit="1" customWidth="1"/>
    <col min="12" max="16384" width="9.109375" style="247"/>
  </cols>
  <sheetData>
    <row r="1" spans="1:22">
      <c r="B1" s="483" t="s">
        <v>106</v>
      </c>
      <c r="C1" s="483"/>
      <c r="D1" s="483"/>
      <c r="E1" s="483"/>
      <c r="F1" s="483"/>
      <c r="G1" s="483"/>
      <c r="H1" s="483"/>
      <c r="I1" s="483"/>
      <c r="J1" s="483"/>
      <c r="K1" s="483"/>
      <c r="L1" s="182"/>
      <c r="M1" s="182"/>
      <c r="N1" s="182"/>
      <c r="O1" s="182"/>
      <c r="P1" s="182"/>
      <c r="Q1" s="182"/>
      <c r="R1" s="182"/>
      <c r="S1" s="182"/>
      <c r="T1" s="182"/>
      <c r="U1" s="182"/>
      <c r="V1" s="182"/>
    </row>
    <row r="2" spans="1:22">
      <c r="B2" s="483" t="s">
        <v>178</v>
      </c>
      <c r="C2" s="483"/>
      <c r="D2" s="483"/>
      <c r="E2" s="483"/>
      <c r="F2" s="483"/>
      <c r="G2" s="483"/>
      <c r="H2" s="483"/>
      <c r="I2" s="483"/>
      <c r="J2" s="483"/>
      <c r="K2" s="483"/>
      <c r="L2" s="182"/>
      <c r="M2" s="182"/>
      <c r="N2" s="182"/>
      <c r="O2" s="182"/>
      <c r="P2" s="182"/>
      <c r="Q2" s="182"/>
      <c r="R2" s="182"/>
      <c r="S2" s="182"/>
      <c r="T2" s="182"/>
      <c r="U2" s="182"/>
      <c r="V2" s="182"/>
    </row>
    <row r="3" spans="1:22">
      <c r="B3" s="484" t="s">
        <v>660</v>
      </c>
      <c r="C3" s="484"/>
      <c r="D3" s="484"/>
      <c r="E3" s="484"/>
      <c r="F3" s="484"/>
      <c r="G3" s="484"/>
      <c r="H3" s="484"/>
      <c r="I3" s="484"/>
      <c r="J3" s="484"/>
      <c r="K3" s="484"/>
      <c r="L3" s="182"/>
      <c r="M3" s="182"/>
      <c r="N3" s="182"/>
      <c r="O3" s="182"/>
      <c r="P3" s="182"/>
      <c r="Q3" s="182"/>
      <c r="R3" s="182"/>
      <c r="S3" s="182"/>
      <c r="T3" s="182"/>
      <c r="U3" s="182"/>
      <c r="V3" s="182"/>
    </row>
    <row r="4" spans="1:22">
      <c r="B4" s="483" t="s">
        <v>107</v>
      </c>
      <c r="C4" s="483"/>
      <c r="D4" s="483"/>
      <c r="E4" s="483"/>
      <c r="F4" s="483"/>
      <c r="G4" s="483"/>
      <c r="H4" s="483"/>
      <c r="I4" s="483"/>
      <c r="J4" s="483"/>
      <c r="K4" s="483"/>
      <c r="L4" s="182"/>
      <c r="M4" s="182"/>
      <c r="N4" s="182"/>
      <c r="O4" s="182"/>
      <c r="P4" s="182"/>
      <c r="Q4" s="182"/>
      <c r="R4" s="182"/>
      <c r="S4" s="182"/>
      <c r="T4" s="182"/>
      <c r="U4" s="182"/>
      <c r="V4" s="182"/>
    </row>
    <row r="7" spans="1:22" ht="12.75" customHeight="1">
      <c r="B7" s="482" t="s">
        <v>174</v>
      </c>
      <c r="C7" s="482"/>
      <c r="D7" s="482"/>
      <c r="F7" s="482" t="s">
        <v>175</v>
      </c>
      <c r="G7" s="482"/>
      <c r="H7" s="482"/>
    </row>
    <row r="8" spans="1:22">
      <c r="B8" s="482"/>
      <c r="C8" s="482"/>
      <c r="D8" s="482"/>
      <c r="F8" s="482"/>
      <c r="G8" s="482"/>
      <c r="H8" s="482"/>
    </row>
    <row r="11" spans="1:22">
      <c r="A11" s="350">
        <v>1</v>
      </c>
      <c r="B11" s="248">
        <v>41275</v>
      </c>
      <c r="C11" s="351">
        <v>5370</v>
      </c>
      <c r="F11" s="248">
        <v>41275</v>
      </c>
      <c r="G11" s="351">
        <v>100518.5</v>
      </c>
    </row>
    <row r="12" spans="1:22">
      <c r="A12" s="350">
        <f>+A11+1</f>
        <v>2</v>
      </c>
      <c r="B12" s="248">
        <v>41306</v>
      </c>
      <c r="C12" s="351">
        <v>6735.3</v>
      </c>
      <c r="F12" s="248">
        <v>41306</v>
      </c>
      <c r="G12" s="351">
        <v>96101.6</v>
      </c>
    </row>
    <row r="13" spans="1:22">
      <c r="A13" s="350">
        <f t="shared" ref="A13:A23" si="0">+A12+1</f>
        <v>3</v>
      </c>
      <c r="B13" s="248">
        <v>41334</v>
      </c>
      <c r="C13" s="351">
        <v>9828.2000000000007</v>
      </c>
      <c r="F13" s="248">
        <v>41334</v>
      </c>
      <c r="G13" s="351">
        <v>79253.2</v>
      </c>
    </row>
    <row r="14" spans="1:22">
      <c r="A14" s="350">
        <f t="shared" si="0"/>
        <v>4</v>
      </c>
      <c r="B14" s="248">
        <v>41365</v>
      </c>
      <c r="C14" s="351">
        <v>8474.7999999999993</v>
      </c>
      <c r="F14" s="248">
        <v>41365</v>
      </c>
      <c r="G14" s="351">
        <v>56386.5</v>
      </c>
    </row>
    <row r="15" spans="1:22">
      <c r="A15" s="350">
        <f t="shared" si="0"/>
        <v>5</v>
      </c>
      <c r="B15" s="248">
        <v>41395</v>
      </c>
      <c r="C15" s="351">
        <v>10498.3</v>
      </c>
      <c r="F15" s="248">
        <v>41395</v>
      </c>
      <c r="G15" s="351">
        <v>57951.8</v>
      </c>
    </row>
    <row r="16" spans="1:22">
      <c r="A16" s="350">
        <f t="shared" si="0"/>
        <v>6</v>
      </c>
      <c r="B16" s="248">
        <v>41426</v>
      </c>
      <c r="C16" s="351">
        <v>9588.4</v>
      </c>
      <c r="F16" s="248">
        <v>41426</v>
      </c>
      <c r="G16" s="351">
        <v>74103.7</v>
      </c>
    </row>
    <row r="17" spans="1:11">
      <c r="A17" s="350">
        <f t="shared" si="0"/>
        <v>7</v>
      </c>
      <c r="B17" s="248">
        <v>41456</v>
      </c>
      <c r="C17" s="351">
        <v>7159</v>
      </c>
      <c r="F17" s="248">
        <v>41456</v>
      </c>
      <c r="G17" s="351">
        <v>86463.4</v>
      </c>
    </row>
    <row r="18" spans="1:11">
      <c r="A18" s="350">
        <f t="shared" si="0"/>
        <v>8</v>
      </c>
      <c r="B18" s="248">
        <v>41487</v>
      </c>
      <c r="C18" s="351">
        <v>7142.8</v>
      </c>
      <c r="F18" s="248">
        <v>41487</v>
      </c>
      <c r="G18" s="351">
        <v>67717</v>
      </c>
    </row>
    <row r="19" spans="1:11">
      <c r="A19" s="350">
        <f t="shared" si="0"/>
        <v>9</v>
      </c>
      <c r="B19" s="248">
        <v>41518</v>
      </c>
      <c r="C19" s="351">
        <v>7556.8</v>
      </c>
      <c r="F19" s="248">
        <v>41518</v>
      </c>
      <c r="G19" s="351">
        <v>39587.699999999997</v>
      </c>
    </row>
    <row r="20" spans="1:11">
      <c r="A20" s="350">
        <f t="shared" si="0"/>
        <v>10</v>
      </c>
      <c r="B20" s="248">
        <v>41548</v>
      </c>
      <c r="C20" s="351">
        <v>15082.2</v>
      </c>
      <c r="F20" s="248">
        <v>41548</v>
      </c>
      <c r="G20" s="351">
        <v>32886.699999999997</v>
      </c>
    </row>
    <row r="21" spans="1:11">
      <c r="A21" s="350">
        <f t="shared" si="0"/>
        <v>11</v>
      </c>
      <c r="B21" s="248">
        <v>41579</v>
      </c>
      <c r="C21" s="351">
        <v>8948.1</v>
      </c>
      <c r="F21" s="248">
        <v>41579</v>
      </c>
      <c r="G21" s="351">
        <v>54971.8</v>
      </c>
    </row>
    <row r="22" spans="1:11">
      <c r="A22" s="350">
        <f t="shared" si="0"/>
        <v>12</v>
      </c>
      <c r="B22" s="248">
        <v>41609</v>
      </c>
      <c r="C22" s="351">
        <v>5669.9</v>
      </c>
      <c r="F22" s="248">
        <v>41609</v>
      </c>
      <c r="G22" s="351">
        <v>27663.4</v>
      </c>
    </row>
    <row r="23" spans="1:11" ht="13.8" thickBot="1">
      <c r="A23" s="350">
        <f t="shared" si="0"/>
        <v>13</v>
      </c>
      <c r="C23" s="352">
        <f>SUM(C11:C22)</f>
        <v>102053.8</v>
      </c>
      <c r="G23" s="352">
        <f>SUM(G11:G22)</f>
        <v>773605.29999999993</v>
      </c>
    </row>
    <row r="24" spans="1:11" ht="13.8" thickTop="1"/>
    <row r="25" spans="1:11">
      <c r="B25" s="249"/>
      <c r="C25" s="249"/>
      <c r="D25" s="249"/>
      <c r="E25" s="95" t="s">
        <v>33</v>
      </c>
      <c r="F25" s="95" t="s">
        <v>34</v>
      </c>
      <c r="G25" s="95" t="s">
        <v>35</v>
      </c>
      <c r="H25" s="95" t="s">
        <v>25</v>
      </c>
      <c r="I25" s="95" t="s">
        <v>36</v>
      </c>
      <c r="J25" s="95" t="s">
        <v>37</v>
      </c>
      <c r="K25" s="95" t="s">
        <v>14</v>
      </c>
    </row>
    <row r="26" spans="1:11">
      <c r="A26" s="350">
        <f>+A23+1</f>
        <v>14</v>
      </c>
      <c r="B26" s="249" t="s">
        <v>170</v>
      </c>
      <c r="C26" s="249"/>
      <c r="D26" s="249"/>
      <c r="E26" s="250">
        <v>1527970108</v>
      </c>
      <c r="F26" s="250">
        <v>1068582308</v>
      </c>
      <c r="G26" s="250">
        <v>1256106503</v>
      </c>
      <c r="H26" s="250">
        <v>926236017</v>
      </c>
      <c r="I26" s="250">
        <v>89641046</v>
      </c>
      <c r="J26" s="250">
        <v>941634205</v>
      </c>
      <c r="K26" s="250">
        <f>SUM(E26:J26)</f>
        <v>5810170187</v>
      </c>
    </row>
    <row r="27" spans="1:11">
      <c r="A27" s="350">
        <f>+A26+1</f>
        <v>15</v>
      </c>
      <c r="B27" s="249" t="s">
        <v>171</v>
      </c>
      <c r="C27" s="249"/>
      <c r="D27" s="249"/>
      <c r="E27" s="251">
        <v>46041300.049999997</v>
      </c>
      <c r="F27" s="251">
        <v>26430009.52</v>
      </c>
      <c r="G27" s="251">
        <v>28904667.330000017</v>
      </c>
      <c r="H27" s="251">
        <v>13488969.750000002</v>
      </c>
      <c r="I27" s="251">
        <v>3547347.54</v>
      </c>
      <c r="J27" s="251">
        <v>16015705.770000001</v>
      </c>
      <c r="K27" s="251">
        <f>SUM(E27:J27)</f>
        <v>134427999.96000001</v>
      </c>
    </row>
    <row r="28" spans="1:11">
      <c r="A28" s="350">
        <f t="shared" ref="A28:A29" si="1">+A27+1</f>
        <v>16</v>
      </c>
      <c r="B28" s="249" t="s">
        <v>172</v>
      </c>
      <c r="C28" s="249"/>
      <c r="D28" s="249"/>
      <c r="E28" s="250">
        <f t="shared" ref="E28:K28" si="2">E26-E27</f>
        <v>1481928807.95</v>
      </c>
      <c r="F28" s="250">
        <f t="shared" si="2"/>
        <v>1042152298.48</v>
      </c>
      <c r="G28" s="250">
        <f t="shared" si="2"/>
        <v>1227201835.6700001</v>
      </c>
      <c r="H28" s="250">
        <f t="shared" si="2"/>
        <v>912747047.25</v>
      </c>
      <c r="I28" s="250">
        <f t="shared" si="2"/>
        <v>86093698.459999993</v>
      </c>
      <c r="J28" s="250">
        <f t="shared" si="2"/>
        <v>925618499.23000002</v>
      </c>
      <c r="K28" s="250">
        <f t="shared" si="2"/>
        <v>5675742187.04</v>
      </c>
    </row>
    <row r="29" spans="1:11">
      <c r="A29" s="350">
        <f t="shared" si="1"/>
        <v>17</v>
      </c>
      <c r="B29" s="249" t="s">
        <v>173</v>
      </c>
      <c r="C29" s="249"/>
      <c r="D29" s="249"/>
      <c r="E29" s="252">
        <f>E28/K28</f>
        <v>0.26109868262406966</v>
      </c>
      <c r="F29" s="252">
        <f>F28/K28</f>
        <v>0.18361515800693917</v>
      </c>
      <c r="G29" s="252">
        <f>G28/K28</f>
        <v>0.21621874201266489</v>
      </c>
      <c r="H29" s="252">
        <f>H28/K28</f>
        <v>0.16081545235338002</v>
      </c>
      <c r="I29" s="252">
        <f>I28/K28</f>
        <v>1.5168711971552637E-2</v>
      </c>
      <c r="J29" s="252">
        <f>J28/K28</f>
        <v>0.16308325303139368</v>
      </c>
      <c r="K29" s="252">
        <f>SUM(E29:J29)</f>
        <v>1</v>
      </c>
    </row>
    <row r="30" spans="1:11">
      <c r="A30" s="350"/>
      <c r="B30" s="249"/>
      <c r="C30" s="249"/>
      <c r="D30" s="249"/>
      <c r="E30" s="252"/>
      <c r="F30" s="252"/>
      <c r="G30" s="252"/>
      <c r="H30" s="252"/>
      <c r="I30" s="252"/>
      <c r="J30" s="252"/>
      <c r="K30" s="252"/>
    </row>
    <row r="31" spans="1:11">
      <c r="B31" s="183" t="s">
        <v>176</v>
      </c>
    </row>
    <row r="32" spans="1:11">
      <c r="A32" s="350">
        <f>+A29+1</f>
        <v>18</v>
      </c>
      <c r="B32" s="247" t="s">
        <v>689</v>
      </c>
      <c r="E32" s="353">
        <f>C23*E29</f>
        <v>26646.11273678028</v>
      </c>
      <c r="F32" s="354">
        <f>C23*F29</f>
        <v>18738.624612208569</v>
      </c>
      <c r="G32" s="354">
        <f>C23*G29</f>
        <v>22065.944253612102</v>
      </c>
      <c r="H32" s="354">
        <f>C23*H29</f>
        <v>16411.828011381374</v>
      </c>
      <c r="I32" s="354">
        <f>C23*I29</f>
        <v>1548.0246978024386</v>
      </c>
      <c r="J32" s="354">
        <f>C23*J29</f>
        <v>16643.265688215244</v>
      </c>
      <c r="K32" s="354">
        <f>SUM(E32:J32)</f>
        <v>102053.79999999999</v>
      </c>
    </row>
    <row r="33" spans="1:11">
      <c r="A33" s="350">
        <f>+A32+1</f>
        <v>19</v>
      </c>
      <c r="B33" s="247" t="s">
        <v>690</v>
      </c>
      <c r="E33" s="355">
        <v>1129.71</v>
      </c>
      <c r="F33" s="355">
        <v>298.73</v>
      </c>
      <c r="G33" s="355">
        <v>457.97</v>
      </c>
      <c r="H33" s="355">
        <v>862.35</v>
      </c>
      <c r="I33" s="355">
        <v>76.58</v>
      </c>
      <c r="J33" s="355">
        <v>660.56</v>
      </c>
      <c r="K33" s="355">
        <f>SUM(E33:J33)</f>
        <v>3485.9</v>
      </c>
    </row>
    <row r="34" spans="1:11">
      <c r="A34" s="350">
        <f>+A33+1</f>
        <v>20</v>
      </c>
      <c r="B34" s="247" t="s">
        <v>691</v>
      </c>
      <c r="E34" s="353">
        <f t="shared" ref="E34:J34" si="3">SUM(E32:E33)</f>
        <v>27775.822736780279</v>
      </c>
      <c r="F34" s="353">
        <f t="shared" si="3"/>
        <v>19037.354612208568</v>
      </c>
      <c r="G34" s="353">
        <f t="shared" si="3"/>
        <v>22523.914253612103</v>
      </c>
      <c r="H34" s="368">
        <f t="shared" si="3"/>
        <v>17274.178011381373</v>
      </c>
      <c r="I34" s="353">
        <f t="shared" si="3"/>
        <v>1624.6046978024385</v>
      </c>
      <c r="J34" s="353">
        <f t="shared" si="3"/>
        <v>17303.825688215245</v>
      </c>
      <c r="K34" s="354">
        <f>SUM(E34:J34)</f>
        <v>105539.70000000001</v>
      </c>
    </row>
    <row r="35" spans="1:11">
      <c r="E35" s="354"/>
      <c r="F35" s="354"/>
      <c r="G35" s="354"/>
      <c r="H35" s="354"/>
      <c r="I35" s="354"/>
      <c r="J35" s="354"/>
      <c r="K35" s="354"/>
    </row>
    <row r="36" spans="1:11">
      <c r="B36" s="183" t="s">
        <v>177</v>
      </c>
      <c r="E36" s="354"/>
      <c r="F36" s="354"/>
      <c r="G36" s="354"/>
      <c r="H36" s="354"/>
      <c r="I36" s="354"/>
      <c r="J36" s="354"/>
      <c r="K36" s="354"/>
    </row>
    <row r="37" spans="1:11">
      <c r="A37" s="350">
        <f>+A34+1</f>
        <v>21</v>
      </c>
      <c r="B37" s="247" t="s">
        <v>689</v>
      </c>
      <c r="E37" s="353">
        <f>E29*G23</f>
        <v>201987.32470099817</v>
      </c>
      <c r="F37" s="354">
        <f>F29*G23</f>
        <v>142045.65939450558</v>
      </c>
      <c r="G37" s="354">
        <f>G29*G23</f>
        <v>167267.96478033022</v>
      </c>
      <c r="H37" s="354">
        <f>H29*G23</f>
        <v>124407.68626247224</v>
      </c>
      <c r="I37" s="354">
        <f>I29*G23</f>
        <v>11734.595975366568</v>
      </c>
      <c r="J37" s="354">
        <f>J29*G23</f>
        <v>126162.06888632721</v>
      </c>
      <c r="K37" s="354">
        <f>SUM(E37:J37)</f>
        <v>773605.3</v>
      </c>
    </row>
    <row r="38" spans="1:11">
      <c r="A38" s="350">
        <f>+A37+1</f>
        <v>22</v>
      </c>
      <c r="B38" s="247" t="s">
        <v>690</v>
      </c>
      <c r="E38" s="355">
        <v>5608.16</v>
      </c>
      <c r="F38" s="355">
        <v>2721.84</v>
      </c>
      <c r="G38" s="355">
        <v>4172.72</v>
      </c>
      <c r="H38" s="355">
        <v>3167.47</v>
      </c>
      <c r="I38" s="355">
        <v>697.73</v>
      </c>
      <c r="J38" s="355">
        <v>1617.53</v>
      </c>
      <c r="K38" s="355">
        <f>SUM(E38:J38)</f>
        <v>17985.45</v>
      </c>
    </row>
    <row r="39" spans="1:11">
      <c r="A39" s="350">
        <f>+A38+1</f>
        <v>23</v>
      </c>
      <c r="B39" s="247" t="s">
        <v>692</v>
      </c>
      <c r="E39" s="354">
        <f t="shared" ref="E39:J39" si="4">SUM(E37:E38)</f>
        <v>207595.48470099817</v>
      </c>
      <c r="F39" s="354">
        <f t="shared" si="4"/>
        <v>144767.49939450558</v>
      </c>
      <c r="G39" s="354">
        <f t="shared" si="4"/>
        <v>171440.68478033022</v>
      </c>
      <c r="H39" s="369">
        <f t="shared" si="4"/>
        <v>127575.15626247224</v>
      </c>
      <c r="I39" s="354">
        <f t="shared" si="4"/>
        <v>12432.325975366568</v>
      </c>
      <c r="J39" s="354">
        <f t="shared" si="4"/>
        <v>127779.59888632721</v>
      </c>
      <c r="K39" s="354">
        <f>SUM(E39:J39)</f>
        <v>791590.75</v>
      </c>
    </row>
  </sheetData>
  <mergeCells count="6">
    <mergeCell ref="B7:D8"/>
    <mergeCell ref="F7:H8"/>
    <mergeCell ref="B1:K1"/>
    <mergeCell ref="B2:K2"/>
    <mergeCell ref="B3:K3"/>
    <mergeCell ref="B4:K4"/>
  </mergeCells>
  <phoneticPr fontId="36" type="noConversion"/>
  <pageMargins left="0.5" right="0.2" top="0.75" bottom="0.75" header="0.3" footer="0.3"/>
  <pageSetup scale="80" orientation="portrait"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64"/>
  <sheetViews>
    <sheetView topLeftCell="A52" zoomScaleNormal="100" workbookViewId="0">
      <selection activeCell="D65" sqref="D65"/>
    </sheetView>
  </sheetViews>
  <sheetFormatPr defaultRowHeight="13.2"/>
  <cols>
    <col min="1" max="1" width="27.109375" style="186" customWidth="1"/>
    <col min="2" max="2" width="15.33203125" style="186" bestFit="1" customWidth="1"/>
    <col min="3" max="3" width="14.109375" style="186" bestFit="1" customWidth="1"/>
    <col min="4" max="4" width="15.33203125" style="256" bestFit="1" customWidth="1"/>
    <col min="5" max="5" width="3.6640625" style="256" customWidth="1"/>
    <col min="6" max="6" width="15.88671875" style="257" bestFit="1" customWidth="1"/>
    <col min="7" max="7" width="3" style="256" customWidth="1"/>
    <col min="8" max="8" width="15.44140625" style="256" bestFit="1" customWidth="1"/>
    <col min="9" max="246" width="9.109375" style="186"/>
    <col min="247" max="247" width="21.5546875" style="186" customWidth="1"/>
    <col min="248" max="248" width="3.6640625" style="186" customWidth="1"/>
    <col min="249" max="249" width="13.44140625" style="186" bestFit="1" customWidth="1"/>
    <col min="250" max="250" width="3.6640625" style="186" customWidth="1"/>
    <col min="251" max="251" width="12.88671875" style="186" bestFit="1" customWidth="1"/>
    <col min="252" max="252" width="3.6640625" style="186" customWidth="1"/>
    <col min="253" max="253" width="14.33203125" style="186" bestFit="1" customWidth="1"/>
    <col min="254" max="254" width="3.6640625" style="186" customWidth="1"/>
    <col min="255" max="255" width="15" style="186" bestFit="1" customWidth="1"/>
    <col min="256" max="256" width="3" style="186" customWidth="1"/>
    <col min="257" max="257" width="15.33203125" style="186" bestFit="1" customWidth="1"/>
    <col min="258" max="259" width="9.109375" style="186"/>
    <col min="260" max="260" width="17.5546875" style="186" bestFit="1" customWidth="1"/>
    <col min="261" max="502" width="9.109375" style="186"/>
    <col min="503" max="503" width="21.5546875" style="186" customWidth="1"/>
    <col min="504" max="504" width="3.6640625" style="186" customWidth="1"/>
    <col min="505" max="505" width="13.44140625" style="186" bestFit="1" customWidth="1"/>
    <col min="506" max="506" width="3.6640625" style="186" customWidth="1"/>
    <col min="507" max="507" width="12.88671875" style="186" bestFit="1" customWidth="1"/>
    <col min="508" max="508" width="3.6640625" style="186" customWidth="1"/>
    <col min="509" max="509" width="14.33203125" style="186" bestFit="1" customWidth="1"/>
    <col min="510" max="510" width="3.6640625" style="186" customWidth="1"/>
    <col min="511" max="511" width="15" style="186" bestFit="1" customWidth="1"/>
    <col min="512" max="512" width="3" style="186" customWidth="1"/>
    <col min="513" max="513" width="15.33203125" style="186" bestFit="1" customWidth="1"/>
    <col min="514" max="515" width="9.109375" style="186"/>
    <col min="516" max="516" width="17.5546875" style="186" bestFit="1" customWidth="1"/>
    <col min="517" max="758" width="9.109375" style="186"/>
    <col min="759" max="759" width="21.5546875" style="186" customWidth="1"/>
    <col min="760" max="760" width="3.6640625" style="186" customWidth="1"/>
    <col min="761" max="761" width="13.44140625" style="186" bestFit="1" customWidth="1"/>
    <col min="762" max="762" width="3.6640625" style="186" customWidth="1"/>
    <col min="763" max="763" width="12.88671875" style="186" bestFit="1" customWidth="1"/>
    <col min="764" max="764" width="3.6640625" style="186" customWidth="1"/>
    <col min="765" max="765" width="14.33203125" style="186" bestFit="1" customWidth="1"/>
    <col min="766" max="766" width="3.6640625" style="186" customWidth="1"/>
    <col min="767" max="767" width="15" style="186" bestFit="1" customWidth="1"/>
    <col min="768" max="768" width="3" style="186" customWidth="1"/>
    <col min="769" max="769" width="15.33203125" style="186" bestFit="1" customWidth="1"/>
    <col min="770" max="771" width="9.109375" style="186"/>
    <col min="772" max="772" width="17.5546875" style="186" bestFit="1" customWidth="1"/>
    <col min="773" max="1014" width="9.109375" style="186"/>
    <col min="1015" max="1015" width="21.5546875" style="186" customWidth="1"/>
    <col min="1016" max="1016" width="3.6640625" style="186" customWidth="1"/>
    <col min="1017" max="1017" width="13.44140625" style="186" bestFit="1" customWidth="1"/>
    <col min="1018" max="1018" width="3.6640625" style="186" customWidth="1"/>
    <col min="1019" max="1019" width="12.88671875" style="186" bestFit="1" customWidth="1"/>
    <col min="1020" max="1020" width="3.6640625" style="186" customWidth="1"/>
    <col min="1021" max="1021" width="14.33203125" style="186" bestFit="1" customWidth="1"/>
    <col min="1022" max="1022" width="3.6640625" style="186" customWidth="1"/>
    <col min="1023" max="1023" width="15" style="186" bestFit="1" customWidth="1"/>
    <col min="1024" max="1024" width="3" style="186" customWidth="1"/>
    <col min="1025" max="1025" width="15.33203125" style="186" bestFit="1" customWidth="1"/>
    <col min="1026" max="1027" width="9.109375" style="186"/>
    <col min="1028" max="1028" width="17.5546875" style="186" bestFit="1" customWidth="1"/>
    <col min="1029" max="1270" width="9.109375" style="186"/>
    <col min="1271" max="1271" width="21.5546875" style="186" customWidth="1"/>
    <col min="1272" max="1272" width="3.6640625" style="186" customWidth="1"/>
    <col min="1273" max="1273" width="13.44140625" style="186" bestFit="1" customWidth="1"/>
    <col min="1274" max="1274" width="3.6640625" style="186" customWidth="1"/>
    <col min="1275" max="1275" width="12.88671875" style="186" bestFit="1" customWidth="1"/>
    <col min="1276" max="1276" width="3.6640625" style="186" customWidth="1"/>
    <col min="1277" max="1277" width="14.33203125" style="186" bestFit="1" customWidth="1"/>
    <col min="1278" max="1278" width="3.6640625" style="186" customWidth="1"/>
    <col min="1279" max="1279" width="15" style="186" bestFit="1" customWidth="1"/>
    <col min="1280" max="1280" width="3" style="186" customWidth="1"/>
    <col min="1281" max="1281" width="15.33203125" style="186" bestFit="1" customWidth="1"/>
    <col min="1282" max="1283" width="9.109375" style="186"/>
    <col min="1284" max="1284" width="17.5546875" style="186" bestFit="1" customWidth="1"/>
    <col min="1285" max="1526" width="9.109375" style="186"/>
    <col min="1527" max="1527" width="21.5546875" style="186" customWidth="1"/>
    <col min="1528" max="1528" width="3.6640625" style="186" customWidth="1"/>
    <col min="1529" max="1529" width="13.44140625" style="186" bestFit="1" customWidth="1"/>
    <col min="1530" max="1530" width="3.6640625" style="186" customWidth="1"/>
    <col min="1531" max="1531" width="12.88671875" style="186" bestFit="1" customWidth="1"/>
    <col min="1532" max="1532" width="3.6640625" style="186" customWidth="1"/>
    <col min="1533" max="1533" width="14.33203125" style="186" bestFit="1" customWidth="1"/>
    <col min="1534" max="1534" width="3.6640625" style="186" customWidth="1"/>
    <col min="1535" max="1535" width="15" style="186" bestFit="1" customWidth="1"/>
    <col min="1536" max="1536" width="3" style="186" customWidth="1"/>
    <col min="1537" max="1537" width="15.33203125" style="186" bestFit="1" customWidth="1"/>
    <col min="1538" max="1539" width="9.109375" style="186"/>
    <col min="1540" max="1540" width="17.5546875" style="186" bestFit="1" customWidth="1"/>
    <col min="1541" max="1782" width="9.109375" style="186"/>
    <col min="1783" max="1783" width="21.5546875" style="186" customWidth="1"/>
    <col min="1784" max="1784" width="3.6640625" style="186" customWidth="1"/>
    <col min="1785" max="1785" width="13.44140625" style="186" bestFit="1" customWidth="1"/>
    <col min="1786" max="1786" width="3.6640625" style="186" customWidth="1"/>
    <col min="1787" max="1787" width="12.88671875" style="186" bestFit="1" customWidth="1"/>
    <col min="1788" max="1788" width="3.6640625" style="186" customWidth="1"/>
    <col min="1789" max="1789" width="14.33203125" style="186" bestFit="1" customWidth="1"/>
    <col min="1790" max="1790" width="3.6640625" style="186" customWidth="1"/>
    <col min="1791" max="1791" width="15" style="186" bestFit="1" customWidth="1"/>
    <col min="1792" max="1792" width="3" style="186" customWidth="1"/>
    <col min="1793" max="1793" width="15.33203125" style="186" bestFit="1" customWidth="1"/>
    <col min="1794" max="1795" width="9.109375" style="186"/>
    <col min="1796" max="1796" width="17.5546875" style="186" bestFit="1" customWidth="1"/>
    <col min="1797" max="2038" width="9.109375" style="186"/>
    <col min="2039" max="2039" width="21.5546875" style="186" customWidth="1"/>
    <col min="2040" max="2040" width="3.6640625" style="186" customWidth="1"/>
    <col min="2041" max="2041" width="13.44140625" style="186" bestFit="1" customWidth="1"/>
    <col min="2042" max="2042" width="3.6640625" style="186" customWidth="1"/>
    <col min="2043" max="2043" width="12.88671875" style="186" bestFit="1" customWidth="1"/>
    <col min="2044" max="2044" width="3.6640625" style="186" customWidth="1"/>
    <col min="2045" max="2045" width="14.33203125" style="186" bestFit="1" customWidth="1"/>
    <col min="2046" max="2046" width="3.6640625" style="186" customWidth="1"/>
    <col min="2047" max="2047" width="15" style="186" bestFit="1" customWidth="1"/>
    <col min="2048" max="2048" width="3" style="186" customWidth="1"/>
    <col min="2049" max="2049" width="15.33203125" style="186" bestFit="1" customWidth="1"/>
    <col min="2050" max="2051" width="9.109375" style="186"/>
    <col min="2052" max="2052" width="17.5546875" style="186" bestFit="1" customWidth="1"/>
    <col min="2053" max="2294" width="9.109375" style="186"/>
    <col min="2295" max="2295" width="21.5546875" style="186" customWidth="1"/>
    <col min="2296" max="2296" width="3.6640625" style="186" customWidth="1"/>
    <col min="2297" max="2297" width="13.44140625" style="186" bestFit="1" customWidth="1"/>
    <col min="2298" max="2298" width="3.6640625" style="186" customWidth="1"/>
    <col min="2299" max="2299" width="12.88671875" style="186" bestFit="1" customWidth="1"/>
    <col min="2300" max="2300" width="3.6640625" style="186" customWidth="1"/>
    <col min="2301" max="2301" width="14.33203125" style="186" bestFit="1" customWidth="1"/>
    <col min="2302" max="2302" width="3.6640625" style="186" customWidth="1"/>
    <col min="2303" max="2303" width="15" style="186" bestFit="1" customWidth="1"/>
    <col min="2304" max="2304" width="3" style="186" customWidth="1"/>
    <col min="2305" max="2305" width="15.33203125" style="186" bestFit="1" customWidth="1"/>
    <col min="2306" max="2307" width="9.109375" style="186"/>
    <col min="2308" max="2308" width="17.5546875" style="186" bestFit="1" customWidth="1"/>
    <col min="2309" max="2550" width="9.109375" style="186"/>
    <col min="2551" max="2551" width="21.5546875" style="186" customWidth="1"/>
    <col min="2552" max="2552" width="3.6640625" style="186" customWidth="1"/>
    <col min="2553" max="2553" width="13.44140625" style="186" bestFit="1" customWidth="1"/>
    <col min="2554" max="2554" width="3.6640625" style="186" customWidth="1"/>
    <col min="2555" max="2555" width="12.88671875" style="186" bestFit="1" customWidth="1"/>
    <col min="2556" max="2556" width="3.6640625" style="186" customWidth="1"/>
    <col min="2557" max="2557" width="14.33203125" style="186" bestFit="1" customWidth="1"/>
    <col min="2558" max="2558" width="3.6640625" style="186" customWidth="1"/>
    <col min="2559" max="2559" width="15" style="186" bestFit="1" customWidth="1"/>
    <col min="2560" max="2560" width="3" style="186" customWidth="1"/>
    <col min="2561" max="2561" width="15.33203125" style="186" bestFit="1" customWidth="1"/>
    <col min="2562" max="2563" width="9.109375" style="186"/>
    <col min="2564" max="2564" width="17.5546875" style="186" bestFit="1" customWidth="1"/>
    <col min="2565" max="2806" width="9.109375" style="186"/>
    <col min="2807" max="2807" width="21.5546875" style="186" customWidth="1"/>
    <col min="2808" max="2808" width="3.6640625" style="186" customWidth="1"/>
    <col min="2809" max="2809" width="13.44140625" style="186" bestFit="1" customWidth="1"/>
    <col min="2810" max="2810" width="3.6640625" style="186" customWidth="1"/>
    <col min="2811" max="2811" width="12.88671875" style="186" bestFit="1" customWidth="1"/>
    <col min="2812" max="2812" width="3.6640625" style="186" customWidth="1"/>
    <col min="2813" max="2813" width="14.33203125" style="186" bestFit="1" customWidth="1"/>
    <col min="2814" max="2814" width="3.6640625" style="186" customWidth="1"/>
    <col min="2815" max="2815" width="15" style="186" bestFit="1" customWidth="1"/>
    <col min="2816" max="2816" width="3" style="186" customWidth="1"/>
    <col min="2817" max="2817" width="15.33203125" style="186" bestFit="1" customWidth="1"/>
    <col min="2818" max="2819" width="9.109375" style="186"/>
    <col min="2820" max="2820" width="17.5546875" style="186" bestFit="1" customWidth="1"/>
    <col min="2821" max="3062" width="9.109375" style="186"/>
    <col min="3063" max="3063" width="21.5546875" style="186" customWidth="1"/>
    <col min="3064" max="3064" width="3.6640625" style="186" customWidth="1"/>
    <col min="3065" max="3065" width="13.44140625" style="186" bestFit="1" customWidth="1"/>
    <col min="3066" max="3066" width="3.6640625" style="186" customWidth="1"/>
    <col min="3067" max="3067" width="12.88671875" style="186" bestFit="1" customWidth="1"/>
    <col min="3068" max="3068" width="3.6640625" style="186" customWidth="1"/>
    <col min="3069" max="3069" width="14.33203125" style="186" bestFit="1" customWidth="1"/>
    <col min="3070" max="3070" width="3.6640625" style="186" customWidth="1"/>
    <col min="3071" max="3071" width="15" style="186" bestFit="1" customWidth="1"/>
    <col min="3072" max="3072" width="3" style="186" customWidth="1"/>
    <col min="3073" max="3073" width="15.33203125" style="186" bestFit="1" customWidth="1"/>
    <col min="3074" max="3075" width="9.109375" style="186"/>
    <col min="3076" max="3076" width="17.5546875" style="186" bestFit="1" customWidth="1"/>
    <col min="3077" max="3318" width="9.109375" style="186"/>
    <col min="3319" max="3319" width="21.5546875" style="186" customWidth="1"/>
    <col min="3320" max="3320" width="3.6640625" style="186" customWidth="1"/>
    <col min="3321" max="3321" width="13.44140625" style="186" bestFit="1" customWidth="1"/>
    <col min="3322" max="3322" width="3.6640625" style="186" customWidth="1"/>
    <col min="3323" max="3323" width="12.88671875" style="186" bestFit="1" customWidth="1"/>
    <col min="3324" max="3324" width="3.6640625" style="186" customWidth="1"/>
    <col min="3325" max="3325" width="14.33203125" style="186" bestFit="1" customWidth="1"/>
    <col min="3326" max="3326" width="3.6640625" style="186" customWidth="1"/>
    <col min="3327" max="3327" width="15" style="186" bestFit="1" customWidth="1"/>
    <col min="3328" max="3328" width="3" style="186" customWidth="1"/>
    <col min="3329" max="3329" width="15.33203125" style="186" bestFit="1" customWidth="1"/>
    <col min="3330" max="3331" width="9.109375" style="186"/>
    <col min="3332" max="3332" width="17.5546875" style="186" bestFit="1" customWidth="1"/>
    <col min="3333" max="3574" width="9.109375" style="186"/>
    <col min="3575" max="3575" width="21.5546875" style="186" customWidth="1"/>
    <col min="3576" max="3576" width="3.6640625" style="186" customWidth="1"/>
    <col min="3577" max="3577" width="13.44140625" style="186" bestFit="1" customWidth="1"/>
    <col min="3578" max="3578" width="3.6640625" style="186" customWidth="1"/>
    <col min="3579" max="3579" width="12.88671875" style="186" bestFit="1" customWidth="1"/>
    <col min="3580" max="3580" width="3.6640625" style="186" customWidth="1"/>
    <col min="3581" max="3581" width="14.33203125" style="186" bestFit="1" customWidth="1"/>
    <col min="3582" max="3582" width="3.6640625" style="186" customWidth="1"/>
    <col min="3583" max="3583" width="15" style="186" bestFit="1" customWidth="1"/>
    <col min="3584" max="3584" width="3" style="186" customWidth="1"/>
    <col min="3585" max="3585" width="15.33203125" style="186" bestFit="1" customWidth="1"/>
    <col min="3586" max="3587" width="9.109375" style="186"/>
    <col min="3588" max="3588" width="17.5546875" style="186" bestFit="1" customWidth="1"/>
    <col min="3589" max="3830" width="9.109375" style="186"/>
    <col min="3831" max="3831" width="21.5546875" style="186" customWidth="1"/>
    <col min="3832" max="3832" width="3.6640625" style="186" customWidth="1"/>
    <col min="3833" max="3833" width="13.44140625" style="186" bestFit="1" customWidth="1"/>
    <col min="3834" max="3834" width="3.6640625" style="186" customWidth="1"/>
    <col min="3835" max="3835" width="12.88671875" style="186" bestFit="1" customWidth="1"/>
    <col min="3836" max="3836" width="3.6640625" style="186" customWidth="1"/>
    <col min="3837" max="3837" width="14.33203125" style="186" bestFit="1" customWidth="1"/>
    <col min="3838" max="3838" width="3.6640625" style="186" customWidth="1"/>
    <col min="3839" max="3839" width="15" style="186" bestFit="1" customWidth="1"/>
    <col min="3840" max="3840" width="3" style="186" customWidth="1"/>
    <col min="3841" max="3841" width="15.33203125" style="186" bestFit="1" customWidth="1"/>
    <col min="3842" max="3843" width="9.109375" style="186"/>
    <col min="3844" max="3844" width="17.5546875" style="186" bestFit="1" customWidth="1"/>
    <col min="3845" max="4086" width="9.109375" style="186"/>
    <col min="4087" max="4087" width="21.5546875" style="186" customWidth="1"/>
    <col min="4088" max="4088" width="3.6640625" style="186" customWidth="1"/>
    <col min="4089" max="4089" width="13.44140625" style="186" bestFit="1" customWidth="1"/>
    <col min="4090" max="4090" width="3.6640625" style="186" customWidth="1"/>
    <col min="4091" max="4091" width="12.88671875" style="186" bestFit="1" customWidth="1"/>
    <col min="4092" max="4092" width="3.6640625" style="186" customWidth="1"/>
    <col min="4093" max="4093" width="14.33203125" style="186" bestFit="1" customWidth="1"/>
    <col min="4094" max="4094" width="3.6640625" style="186" customWidth="1"/>
    <col min="4095" max="4095" width="15" style="186" bestFit="1" customWidth="1"/>
    <col min="4096" max="4096" width="3" style="186" customWidth="1"/>
    <col min="4097" max="4097" width="15.33203125" style="186" bestFit="1" customWidth="1"/>
    <col min="4098" max="4099" width="9.109375" style="186"/>
    <col min="4100" max="4100" width="17.5546875" style="186" bestFit="1" customWidth="1"/>
    <col min="4101" max="4342" width="9.109375" style="186"/>
    <col min="4343" max="4343" width="21.5546875" style="186" customWidth="1"/>
    <col min="4344" max="4344" width="3.6640625" style="186" customWidth="1"/>
    <col min="4345" max="4345" width="13.44140625" style="186" bestFit="1" customWidth="1"/>
    <col min="4346" max="4346" width="3.6640625" style="186" customWidth="1"/>
    <col min="4347" max="4347" width="12.88671875" style="186" bestFit="1" customWidth="1"/>
    <col min="4348" max="4348" width="3.6640625" style="186" customWidth="1"/>
    <col min="4349" max="4349" width="14.33203125" style="186" bestFit="1" customWidth="1"/>
    <col min="4350" max="4350" width="3.6640625" style="186" customWidth="1"/>
    <col min="4351" max="4351" width="15" style="186" bestFit="1" customWidth="1"/>
    <col min="4352" max="4352" width="3" style="186" customWidth="1"/>
    <col min="4353" max="4353" width="15.33203125" style="186" bestFit="1" customWidth="1"/>
    <col min="4354" max="4355" width="9.109375" style="186"/>
    <col min="4356" max="4356" width="17.5546875" style="186" bestFit="1" customWidth="1"/>
    <col min="4357" max="4598" width="9.109375" style="186"/>
    <col min="4599" max="4599" width="21.5546875" style="186" customWidth="1"/>
    <col min="4600" max="4600" width="3.6640625" style="186" customWidth="1"/>
    <col min="4601" max="4601" width="13.44140625" style="186" bestFit="1" customWidth="1"/>
    <col min="4602" max="4602" width="3.6640625" style="186" customWidth="1"/>
    <col min="4603" max="4603" width="12.88671875" style="186" bestFit="1" customWidth="1"/>
    <col min="4604" max="4604" width="3.6640625" style="186" customWidth="1"/>
    <col min="4605" max="4605" width="14.33203125" style="186" bestFit="1" customWidth="1"/>
    <col min="4606" max="4606" width="3.6640625" style="186" customWidth="1"/>
    <col min="4607" max="4607" width="15" style="186" bestFit="1" customWidth="1"/>
    <col min="4608" max="4608" width="3" style="186" customWidth="1"/>
    <col min="4609" max="4609" width="15.33203125" style="186" bestFit="1" customWidth="1"/>
    <col min="4610" max="4611" width="9.109375" style="186"/>
    <col min="4612" max="4612" width="17.5546875" style="186" bestFit="1" customWidth="1"/>
    <col min="4613" max="4854" width="9.109375" style="186"/>
    <col min="4855" max="4855" width="21.5546875" style="186" customWidth="1"/>
    <col min="4856" max="4856" width="3.6640625" style="186" customWidth="1"/>
    <col min="4857" max="4857" width="13.44140625" style="186" bestFit="1" customWidth="1"/>
    <col min="4858" max="4858" width="3.6640625" style="186" customWidth="1"/>
    <col min="4859" max="4859" width="12.88671875" style="186" bestFit="1" customWidth="1"/>
    <col min="4860" max="4860" width="3.6640625" style="186" customWidth="1"/>
    <col min="4861" max="4861" width="14.33203125" style="186" bestFit="1" customWidth="1"/>
    <col min="4862" max="4862" width="3.6640625" style="186" customWidth="1"/>
    <col min="4863" max="4863" width="15" style="186" bestFit="1" customWidth="1"/>
    <col min="4864" max="4864" width="3" style="186" customWidth="1"/>
    <col min="4865" max="4865" width="15.33203125" style="186" bestFit="1" customWidth="1"/>
    <col min="4866" max="4867" width="9.109375" style="186"/>
    <col min="4868" max="4868" width="17.5546875" style="186" bestFit="1" customWidth="1"/>
    <col min="4869" max="5110" width="9.109375" style="186"/>
    <col min="5111" max="5111" width="21.5546875" style="186" customWidth="1"/>
    <col min="5112" max="5112" width="3.6640625" style="186" customWidth="1"/>
    <col min="5113" max="5113" width="13.44140625" style="186" bestFit="1" customWidth="1"/>
    <col min="5114" max="5114" width="3.6640625" style="186" customWidth="1"/>
    <col min="5115" max="5115" width="12.88671875" style="186" bestFit="1" customWidth="1"/>
    <col min="5116" max="5116" width="3.6640625" style="186" customWidth="1"/>
    <col min="5117" max="5117" width="14.33203125" style="186" bestFit="1" customWidth="1"/>
    <col min="5118" max="5118" width="3.6640625" style="186" customWidth="1"/>
    <col min="5119" max="5119" width="15" style="186" bestFit="1" customWidth="1"/>
    <col min="5120" max="5120" width="3" style="186" customWidth="1"/>
    <col min="5121" max="5121" width="15.33203125" style="186" bestFit="1" customWidth="1"/>
    <col min="5122" max="5123" width="9.109375" style="186"/>
    <col min="5124" max="5124" width="17.5546875" style="186" bestFit="1" customWidth="1"/>
    <col min="5125" max="5366" width="9.109375" style="186"/>
    <col min="5367" max="5367" width="21.5546875" style="186" customWidth="1"/>
    <col min="5368" max="5368" width="3.6640625" style="186" customWidth="1"/>
    <col min="5369" max="5369" width="13.44140625" style="186" bestFit="1" customWidth="1"/>
    <col min="5370" max="5370" width="3.6640625" style="186" customWidth="1"/>
    <col min="5371" max="5371" width="12.88671875" style="186" bestFit="1" customWidth="1"/>
    <col min="5372" max="5372" width="3.6640625" style="186" customWidth="1"/>
    <col min="5373" max="5373" width="14.33203125" style="186" bestFit="1" customWidth="1"/>
    <col min="5374" max="5374" width="3.6640625" style="186" customWidth="1"/>
    <col min="5375" max="5375" width="15" style="186" bestFit="1" customWidth="1"/>
    <col min="5376" max="5376" width="3" style="186" customWidth="1"/>
    <col min="5377" max="5377" width="15.33203125" style="186" bestFit="1" customWidth="1"/>
    <col min="5378" max="5379" width="9.109375" style="186"/>
    <col min="5380" max="5380" width="17.5546875" style="186" bestFit="1" customWidth="1"/>
    <col min="5381" max="5622" width="9.109375" style="186"/>
    <col min="5623" max="5623" width="21.5546875" style="186" customWidth="1"/>
    <col min="5624" max="5624" width="3.6640625" style="186" customWidth="1"/>
    <col min="5625" max="5625" width="13.44140625" style="186" bestFit="1" customWidth="1"/>
    <col min="5626" max="5626" width="3.6640625" style="186" customWidth="1"/>
    <col min="5627" max="5627" width="12.88671875" style="186" bestFit="1" customWidth="1"/>
    <col min="5628" max="5628" width="3.6640625" style="186" customWidth="1"/>
    <col min="5629" max="5629" width="14.33203125" style="186" bestFit="1" customWidth="1"/>
    <col min="5630" max="5630" width="3.6640625" style="186" customWidth="1"/>
    <col min="5631" max="5631" width="15" style="186" bestFit="1" customWidth="1"/>
    <col min="5632" max="5632" width="3" style="186" customWidth="1"/>
    <col min="5633" max="5633" width="15.33203125" style="186" bestFit="1" customWidth="1"/>
    <col min="5634" max="5635" width="9.109375" style="186"/>
    <col min="5636" max="5636" width="17.5546875" style="186" bestFit="1" customWidth="1"/>
    <col min="5637" max="5878" width="9.109375" style="186"/>
    <col min="5879" max="5879" width="21.5546875" style="186" customWidth="1"/>
    <col min="5880" max="5880" width="3.6640625" style="186" customWidth="1"/>
    <col min="5881" max="5881" width="13.44140625" style="186" bestFit="1" customWidth="1"/>
    <col min="5882" max="5882" width="3.6640625" style="186" customWidth="1"/>
    <col min="5883" max="5883" width="12.88671875" style="186" bestFit="1" customWidth="1"/>
    <col min="5884" max="5884" width="3.6640625" style="186" customWidth="1"/>
    <col min="5885" max="5885" width="14.33203125" style="186" bestFit="1" customWidth="1"/>
    <col min="5886" max="5886" width="3.6640625" style="186" customWidth="1"/>
    <col min="5887" max="5887" width="15" style="186" bestFit="1" customWidth="1"/>
    <col min="5888" max="5888" width="3" style="186" customWidth="1"/>
    <col min="5889" max="5889" width="15.33203125" style="186" bestFit="1" customWidth="1"/>
    <col min="5890" max="5891" width="9.109375" style="186"/>
    <col min="5892" max="5892" width="17.5546875" style="186" bestFit="1" customWidth="1"/>
    <col min="5893" max="6134" width="9.109375" style="186"/>
    <col min="6135" max="6135" width="21.5546875" style="186" customWidth="1"/>
    <col min="6136" max="6136" width="3.6640625" style="186" customWidth="1"/>
    <col min="6137" max="6137" width="13.44140625" style="186" bestFit="1" customWidth="1"/>
    <col min="6138" max="6138" width="3.6640625" style="186" customWidth="1"/>
    <col min="6139" max="6139" width="12.88671875" style="186" bestFit="1" customWidth="1"/>
    <col min="6140" max="6140" width="3.6640625" style="186" customWidth="1"/>
    <col min="6141" max="6141" width="14.33203125" style="186" bestFit="1" customWidth="1"/>
    <col min="6142" max="6142" width="3.6640625" style="186" customWidth="1"/>
    <col min="6143" max="6143" width="15" style="186" bestFit="1" customWidth="1"/>
    <col min="6144" max="6144" width="3" style="186" customWidth="1"/>
    <col min="6145" max="6145" width="15.33203125" style="186" bestFit="1" customWidth="1"/>
    <col min="6146" max="6147" width="9.109375" style="186"/>
    <col min="6148" max="6148" width="17.5546875" style="186" bestFit="1" customWidth="1"/>
    <col min="6149" max="6390" width="9.109375" style="186"/>
    <col min="6391" max="6391" width="21.5546875" style="186" customWidth="1"/>
    <col min="6392" max="6392" width="3.6640625" style="186" customWidth="1"/>
    <col min="6393" max="6393" width="13.44140625" style="186" bestFit="1" customWidth="1"/>
    <col min="6394" max="6394" width="3.6640625" style="186" customWidth="1"/>
    <col min="6395" max="6395" width="12.88671875" style="186" bestFit="1" customWidth="1"/>
    <col min="6396" max="6396" width="3.6640625" style="186" customWidth="1"/>
    <col min="6397" max="6397" width="14.33203125" style="186" bestFit="1" customWidth="1"/>
    <col min="6398" max="6398" width="3.6640625" style="186" customWidth="1"/>
    <col min="6399" max="6399" width="15" style="186" bestFit="1" customWidth="1"/>
    <col min="6400" max="6400" width="3" style="186" customWidth="1"/>
    <col min="6401" max="6401" width="15.33203125" style="186" bestFit="1" customWidth="1"/>
    <col min="6402" max="6403" width="9.109375" style="186"/>
    <col min="6404" max="6404" width="17.5546875" style="186" bestFit="1" customWidth="1"/>
    <col min="6405" max="6646" width="9.109375" style="186"/>
    <col min="6647" max="6647" width="21.5546875" style="186" customWidth="1"/>
    <col min="6648" max="6648" width="3.6640625" style="186" customWidth="1"/>
    <col min="6649" max="6649" width="13.44140625" style="186" bestFit="1" customWidth="1"/>
    <col min="6650" max="6650" width="3.6640625" style="186" customWidth="1"/>
    <col min="6651" max="6651" width="12.88671875" style="186" bestFit="1" customWidth="1"/>
    <col min="6652" max="6652" width="3.6640625" style="186" customWidth="1"/>
    <col min="6653" max="6653" width="14.33203125" style="186" bestFit="1" customWidth="1"/>
    <col min="6654" max="6654" width="3.6640625" style="186" customWidth="1"/>
    <col min="6655" max="6655" width="15" style="186" bestFit="1" customWidth="1"/>
    <col min="6656" max="6656" width="3" style="186" customWidth="1"/>
    <col min="6657" max="6657" width="15.33203125" style="186" bestFit="1" customWidth="1"/>
    <col min="6658" max="6659" width="9.109375" style="186"/>
    <col min="6660" max="6660" width="17.5546875" style="186" bestFit="1" customWidth="1"/>
    <col min="6661" max="6902" width="9.109375" style="186"/>
    <col min="6903" max="6903" width="21.5546875" style="186" customWidth="1"/>
    <col min="6904" max="6904" width="3.6640625" style="186" customWidth="1"/>
    <col min="6905" max="6905" width="13.44140625" style="186" bestFit="1" customWidth="1"/>
    <col min="6906" max="6906" width="3.6640625" style="186" customWidth="1"/>
    <col min="6907" max="6907" width="12.88671875" style="186" bestFit="1" customWidth="1"/>
    <col min="6908" max="6908" width="3.6640625" style="186" customWidth="1"/>
    <col min="6909" max="6909" width="14.33203125" style="186" bestFit="1" customWidth="1"/>
    <col min="6910" max="6910" width="3.6640625" style="186" customWidth="1"/>
    <col min="6911" max="6911" width="15" style="186" bestFit="1" customWidth="1"/>
    <col min="6912" max="6912" width="3" style="186" customWidth="1"/>
    <col min="6913" max="6913" width="15.33203125" style="186" bestFit="1" customWidth="1"/>
    <col min="6914" max="6915" width="9.109375" style="186"/>
    <col min="6916" max="6916" width="17.5546875" style="186" bestFit="1" customWidth="1"/>
    <col min="6917" max="7158" width="9.109375" style="186"/>
    <col min="7159" max="7159" width="21.5546875" style="186" customWidth="1"/>
    <col min="7160" max="7160" width="3.6640625" style="186" customWidth="1"/>
    <col min="7161" max="7161" width="13.44140625" style="186" bestFit="1" customWidth="1"/>
    <col min="7162" max="7162" width="3.6640625" style="186" customWidth="1"/>
    <col min="7163" max="7163" width="12.88671875" style="186" bestFit="1" customWidth="1"/>
    <col min="7164" max="7164" width="3.6640625" style="186" customWidth="1"/>
    <col min="7165" max="7165" width="14.33203125" style="186" bestFit="1" customWidth="1"/>
    <col min="7166" max="7166" width="3.6640625" style="186" customWidth="1"/>
    <col min="7167" max="7167" width="15" style="186" bestFit="1" customWidth="1"/>
    <col min="7168" max="7168" width="3" style="186" customWidth="1"/>
    <col min="7169" max="7169" width="15.33203125" style="186" bestFit="1" customWidth="1"/>
    <col min="7170" max="7171" width="9.109375" style="186"/>
    <col min="7172" max="7172" width="17.5546875" style="186" bestFit="1" customWidth="1"/>
    <col min="7173" max="7414" width="9.109375" style="186"/>
    <col min="7415" max="7415" width="21.5546875" style="186" customWidth="1"/>
    <col min="7416" max="7416" width="3.6640625" style="186" customWidth="1"/>
    <col min="7417" max="7417" width="13.44140625" style="186" bestFit="1" customWidth="1"/>
    <col min="7418" max="7418" width="3.6640625" style="186" customWidth="1"/>
    <col min="7419" max="7419" width="12.88671875" style="186" bestFit="1" customWidth="1"/>
    <col min="7420" max="7420" width="3.6640625" style="186" customWidth="1"/>
    <col min="7421" max="7421" width="14.33203125" style="186" bestFit="1" customWidth="1"/>
    <col min="7422" max="7422" width="3.6640625" style="186" customWidth="1"/>
    <col min="7423" max="7423" width="15" style="186" bestFit="1" customWidth="1"/>
    <col min="7424" max="7424" width="3" style="186" customWidth="1"/>
    <col min="7425" max="7425" width="15.33203125" style="186" bestFit="1" customWidth="1"/>
    <col min="7426" max="7427" width="9.109375" style="186"/>
    <col min="7428" max="7428" width="17.5546875" style="186" bestFit="1" customWidth="1"/>
    <col min="7429" max="7670" width="9.109375" style="186"/>
    <col min="7671" max="7671" width="21.5546875" style="186" customWidth="1"/>
    <col min="7672" max="7672" width="3.6640625" style="186" customWidth="1"/>
    <col min="7673" max="7673" width="13.44140625" style="186" bestFit="1" customWidth="1"/>
    <col min="7674" max="7674" width="3.6640625" style="186" customWidth="1"/>
    <col min="7675" max="7675" width="12.88671875" style="186" bestFit="1" customWidth="1"/>
    <col min="7676" max="7676" width="3.6640625" style="186" customWidth="1"/>
    <col min="7677" max="7677" width="14.33203125" style="186" bestFit="1" customWidth="1"/>
    <col min="7678" max="7678" width="3.6640625" style="186" customWidth="1"/>
    <col min="7679" max="7679" width="15" style="186" bestFit="1" customWidth="1"/>
    <col min="7680" max="7680" width="3" style="186" customWidth="1"/>
    <col min="7681" max="7681" width="15.33203125" style="186" bestFit="1" customWidth="1"/>
    <col min="7682" max="7683" width="9.109375" style="186"/>
    <col min="7684" max="7684" width="17.5546875" style="186" bestFit="1" customWidth="1"/>
    <col min="7685" max="7926" width="9.109375" style="186"/>
    <col min="7927" max="7927" width="21.5546875" style="186" customWidth="1"/>
    <col min="7928" max="7928" width="3.6640625" style="186" customWidth="1"/>
    <col min="7929" max="7929" width="13.44140625" style="186" bestFit="1" customWidth="1"/>
    <col min="7930" max="7930" width="3.6640625" style="186" customWidth="1"/>
    <col min="7931" max="7931" width="12.88671875" style="186" bestFit="1" customWidth="1"/>
    <col min="7932" max="7932" width="3.6640625" style="186" customWidth="1"/>
    <col min="7933" max="7933" width="14.33203125" style="186" bestFit="1" customWidth="1"/>
    <col min="7934" max="7934" width="3.6640625" style="186" customWidth="1"/>
    <col min="7935" max="7935" width="15" style="186" bestFit="1" customWidth="1"/>
    <col min="7936" max="7936" width="3" style="186" customWidth="1"/>
    <col min="7937" max="7937" width="15.33203125" style="186" bestFit="1" customWidth="1"/>
    <col min="7938" max="7939" width="9.109375" style="186"/>
    <col min="7940" max="7940" width="17.5546875" style="186" bestFit="1" customWidth="1"/>
    <col min="7941" max="8182" width="9.109375" style="186"/>
    <col min="8183" max="8183" width="21.5546875" style="186" customWidth="1"/>
    <col min="8184" max="8184" width="3.6640625" style="186" customWidth="1"/>
    <col min="8185" max="8185" width="13.44140625" style="186" bestFit="1" customWidth="1"/>
    <col min="8186" max="8186" width="3.6640625" style="186" customWidth="1"/>
    <col min="8187" max="8187" width="12.88671875" style="186" bestFit="1" customWidth="1"/>
    <col min="8188" max="8188" width="3.6640625" style="186" customWidth="1"/>
    <col min="8189" max="8189" width="14.33203125" style="186" bestFit="1" customWidth="1"/>
    <col min="8190" max="8190" width="3.6640625" style="186" customWidth="1"/>
    <col min="8191" max="8191" width="15" style="186" bestFit="1" customWidth="1"/>
    <col min="8192" max="8192" width="3" style="186" customWidth="1"/>
    <col min="8193" max="8193" width="15.33203125" style="186" bestFit="1" customWidth="1"/>
    <col min="8194" max="8195" width="9.109375" style="186"/>
    <col min="8196" max="8196" width="17.5546875" style="186" bestFit="1" customWidth="1"/>
    <col min="8197" max="8438" width="9.109375" style="186"/>
    <col min="8439" max="8439" width="21.5546875" style="186" customWidth="1"/>
    <col min="8440" max="8440" width="3.6640625" style="186" customWidth="1"/>
    <col min="8441" max="8441" width="13.44140625" style="186" bestFit="1" customWidth="1"/>
    <col min="8442" max="8442" width="3.6640625" style="186" customWidth="1"/>
    <col min="8443" max="8443" width="12.88671875" style="186" bestFit="1" customWidth="1"/>
    <col min="8444" max="8444" width="3.6640625" style="186" customWidth="1"/>
    <col min="8445" max="8445" width="14.33203125" style="186" bestFit="1" customWidth="1"/>
    <col min="8446" max="8446" width="3.6640625" style="186" customWidth="1"/>
    <col min="8447" max="8447" width="15" style="186" bestFit="1" customWidth="1"/>
    <col min="8448" max="8448" width="3" style="186" customWidth="1"/>
    <col min="8449" max="8449" width="15.33203125" style="186" bestFit="1" customWidth="1"/>
    <col min="8450" max="8451" width="9.109375" style="186"/>
    <col min="8452" max="8452" width="17.5546875" style="186" bestFit="1" customWidth="1"/>
    <col min="8453" max="8694" width="9.109375" style="186"/>
    <col min="8695" max="8695" width="21.5546875" style="186" customWidth="1"/>
    <col min="8696" max="8696" width="3.6640625" style="186" customWidth="1"/>
    <col min="8697" max="8697" width="13.44140625" style="186" bestFit="1" customWidth="1"/>
    <col min="8698" max="8698" width="3.6640625" style="186" customWidth="1"/>
    <col min="8699" max="8699" width="12.88671875" style="186" bestFit="1" customWidth="1"/>
    <col min="8700" max="8700" width="3.6640625" style="186" customWidth="1"/>
    <col min="8701" max="8701" width="14.33203125" style="186" bestFit="1" customWidth="1"/>
    <col min="8702" max="8702" width="3.6640625" style="186" customWidth="1"/>
    <col min="8703" max="8703" width="15" style="186" bestFit="1" customWidth="1"/>
    <col min="8704" max="8704" width="3" style="186" customWidth="1"/>
    <col min="8705" max="8705" width="15.33203125" style="186" bestFit="1" customWidth="1"/>
    <col min="8706" max="8707" width="9.109375" style="186"/>
    <col min="8708" max="8708" width="17.5546875" style="186" bestFit="1" customWidth="1"/>
    <col min="8709" max="8950" width="9.109375" style="186"/>
    <col min="8951" max="8951" width="21.5546875" style="186" customWidth="1"/>
    <col min="8952" max="8952" width="3.6640625" style="186" customWidth="1"/>
    <col min="8953" max="8953" width="13.44140625" style="186" bestFit="1" customWidth="1"/>
    <col min="8954" max="8954" width="3.6640625" style="186" customWidth="1"/>
    <col min="8955" max="8955" width="12.88671875" style="186" bestFit="1" customWidth="1"/>
    <col min="8956" max="8956" width="3.6640625" style="186" customWidth="1"/>
    <col min="8957" max="8957" width="14.33203125" style="186" bestFit="1" customWidth="1"/>
    <col min="8958" max="8958" width="3.6640625" style="186" customWidth="1"/>
    <col min="8959" max="8959" width="15" style="186" bestFit="1" customWidth="1"/>
    <col min="8960" max="8960" width="3" style="186" customWidth="1"/>
    <col min="8961" max="8961" width="15.33203125" style="186" bestFit="1" customWidth="1"/>
    <col min="8962" max="8963" width="9.109375" style="186"/>
    <col min="8964" max="8964" width="17.5546875" style="186" bestFit="1" customWidth="1"/>
    <col min="8965" max="9206" width="9.109375" style="186"/>
    <col min="9207" max="9207" width="21.5546875" style="186" customWidth="1"/>
    <col min="9208" max="9208" width="3.6640625" style="186" customWidth="1"/>
    <col min="9209" max="9209" width="13.44140625" style="186" bestFit="1" customWidth="1"/>
    <col min="9210" max="9210" width="3.6640625" style="186" customWidth="1"/>
    <col min="9211" max="9211" width="12.88671875" style="186" bestFit="1" customWidth="1"/>
    <col min="9212" max="9212" width="3.6640625" style="186" customWidth="1"/>
    <col min="9213" max="9213" width="14.33203125" style="186" bestFit="1" customWidth="1"/>
    <col min="9214" max="9214" width="3.6640625" style="186" customWidth="1"/>
    <col min="9215" max="9215" width="15" style="186" bestFit="1" customWidth="1"/>
    <col min="9216" max="9216" width="3" style="186" customWidth="1"/>
    <col min="9217" max="9217" width="15.33203125" style="186" bestFit="1" customWidth="1"/>
    <col min="9218" max="9219" width="9.109375" style="186"/>
    <col min="9220" max="9220" width="17.5546875" style="186" bestFit="1" customWidth="1"/>
    <col min="9221" max="9462" width="9.109375" style="186"/>
    <col min="9463" max="9463" width="21.5546875" style="186" customWidth="1"/>
    <col min="9464" max="9464" width="3.6640625" style="186" customWidth="1"/>
    <col min="9465" max="9465" width="13.44140625" style="186" bestFit="1" customWidth="1"/>
    <col min="9466" max="9466" width="3.6640625" style="186" customWidth="1"/>
    <col min="9467" max="9467" width="12.88671875" style="186" bestFit="1" customWidth="1"/>
    <col min="9468" max="9468" width="3.6640625" style="186" customWidth="1"/>
    <col min="9469" max="9469" width="14.33203125" style="186" bestFit="1" customWidth="1"/>
    <col min="9470" max="9470" width="3.6640625" style="186" customWidth="1"/>
    <col min="9471" max="9471" width="15" style="186" bestFit="1" customWidth="1"/>
    <col min="9472" max="9472" width="3" style="186" customWidth="1"/>
    <col min="9473" max="9473" width="15.33203125" style="186" bestFit="1" customWidth="1"/>
    <col min="9474" max="9475" width="9.109375" style="186"/>
    <col min="9476" max="9476" width="17.5546875" style="186" bestFit="1" customWidth="1"/>
    <col min="9477" max="9718" width="9.109375" style="186"/>
    <col min="9719" max="9719" width="21.5546875" style="186" customWidth="1"/>
    <col min="9720" max="9720" width="3.6640625" style="186" customWidth="1"/>
    <col min="9721" max="9721" width="13.44140625" style="186" bestFit="1" customWidth="1"/>
    <col min="9722" max="9722" width="3.6640625" style="186" customWidth="1"/>
    <col min="9723" max="9723" width="12.88671875" style="186" bestFit="1" customWidth="1"/>
    <col min="9724" max="9724" width="3.6640625" style="186" customWidth="1"/>
    <col min="9725" max="9725" width="14.33203125" style="186" bestFit="1" customWidth="1"/>
    <col min="9726" max="9726" width="3.6640625" style="186" customWidth="1"/>
    <col min="9727" max="9727" width="15" style="186" bestFit="1" customWidth="1"/>
    <col min="9728" max="9728" width="3" style="186" customWidth="1"/>
    <col min="9729" max="9729" width="15.33203125" style="186" bestFit="1" customWidth="1"/>
    <col min="9730" max="9731" width="9.109375" style="186"/>
    <col min="9732" max="9732" width="17.5546875" style="186" bestFit="1" customWidth="1"/>
    <col min="9733" max="9974" width="9.109375" style="186"/>
    <col min="9975" max="9975" width="21.5546875" style="186" customWidth="1"/>
    <col min="9976" max="9976" width="3.6640625" style="186" customWidth="1"/>
    <col min="9977" max="9977" width="13.44140625" style="186" bestFit="1" customWidth="1"/>
    <col min="9978" max="9978" width="3.6640625" style="186" customWidth="1"/>
    <col min="9979" max="9979" width="12.88671875" style="186" bestFit="1" customWidth="1"/>
    <col min="9980" max="9980" width="3.6640625" style="186" customWidth="1"/>
    <col min="9981" max="9981" width="14.33203125" style="186" bestFit="1" customWidth="1"/>
    <col min="9982" max="9982" width="3.6640625" style="186" customWidth="1"/>
    <col min="9983" max="9983" width="15" style="186" bestFit="1" customWidth="1"/>
    <col min="9984" max="9984" width="3" style="186" customWidth="1"/>
    <col min="9985" max="9985" width="15.33203125" style="186" bestFit="1" customWidth="1"/>
    <col min="9986" max="9987" width="9.109375" style="186"/>
    <col min="9988" max="9988" width="17.5546875" style="186" bestFit="1" customWidth="1"/>
    <col min="9989" max="10230" width="9.109375" style="186"/>
    <col min="10231" max="10231" width="21.5546875" style="186" customWidth="1"/>
    <col min="10232" max="10232" width="3.6640625" style="186" customWidth="1"/>
    <col min="10233" max="10233" width="13.44140625" style="186" bestFit="1" customWidth="1"/>
    <col min="10234" max="10234" width="3.6640625" style="186" customWidth="1"/>
    <col min="10235" max="10235" width="12.88671875" style="186" bestFit="1" customWidth="1"/>
    <col min="10236" max="10236" width="3.6640625" style="186" customWidth="1"/>
    <col min="10237" max="10237" width="14.33203125" style="186" bestFit="1" customWidth="1"/>
    <col min="10238" max="10238" width="3.6640625" style="186" customWidth="1"/>
    <col min="10239" max="10239" width="15" style="186" bestFit="1" customWidth="1"/>
    <col min="10240" max="10240" width="3" style="186" customWidth="1"/>
    <col min="10241" max="10241" width="15.33203125" style="186" bestFit="1" customWidth="1"/>
    <col min="10242" max="10243" width="9.109375" style="186"/>
    <col min="10244" max="10244" width="17.5546875" style="186" bestFit="1" customWidth="1"/>
    <col min="10245" max="10486" width="9.109375" style="186"/>
    <col min="10487" max="10487" width="21.5546875" style="186" customWidth="1"/>
    <col min="10488" max="10488" width="3.6640625" style="186" customWidth="1"/>
    <col min="10489" max="10489" width="13.44140625" style="186" bestFit="1" customWidth="1"/>
    <col min="10490" max="10490" width="3.6640625" style="186" customWidth="1"/>
    <col min="10491" max="10491" width="12.88671875" style="186" bestFit="1" customWidth="1"/>
    <col min="10492" max="10492" width="3.6640625" style="186" customWidth="1"/>
    <col min="10493" max="10493" width="14.33203125" style="186" bestFit="1" customWidth="1"/>
    <col min="10494" max="10494" width="3.6640625" style="186" customWidth="1"/>
    <col min="10495" max="10495" width="15" style="186" bestFit="1" customWidth="1"/>
    <col min="10496" max="10496" width="3" style="186" customWidth="1"/>
    <col min="10497" max="10497" width="15.33203125" style="186" bestFit="1" customWidth="1"/>
    <col min="10498" max="10499" width="9.109375" style="186"/>
    <col min="10500" max="10500" width="17.5546875" style="186" bestFit="1" customWidth="1"/>
    <col min="10501" max="10742" width="9.109375" style="186"/>
    <col min="10743" max="10743" width="21.5546875" style="186" customWidth="1"/>
    <col min="10744" max="10744" width="3.6640625" style="186" customWidth="1"/>
    <col min="10745" max="10745" width="13.44140625" style="186" bestFit="1" customWidth="1"/>
    <col min="10746" max="10746" width="3.6640625" style="186" customWidth="1"/>
    <col min="10747" max="10747" width="12.88671875" style="186" bestFit="1" customWidth="1"/>
    <col min="10748" max="10748" width="3.6640625" style="186" customWidth="1"/>
    <col min="10749" max="10749" width="14.33203125" style="186" bestFit="1" customWidth="1"/>
    <col min="10750" max="10750" width="3.6640625" style="186" customWidth="1"/>
    <col min="10751" max="10751" width="15" style="186" bestFit="1" customWidth="1"/>
    <col min="10752" max="10752" width="3" style="186" customWidth="1"/>
    <col min="10753" max="10753" width="15.33203125" style="186" bestFit="1" customWidth="1"/>
    <col min="10754" max="10755" width="9.109375" style="186"/>
    <col min="10756" max="10756" width="17.5546875" style="186" bestFit="1" customWidth="1"/>
    <col min="10757" max="10998" width="9.109375" style="186"/>
    <col min="10999" max="10999" width="21.5546875" style="186" customWidth="1"/>
    <col min="11000" max="11000" width="3.6640625" style="186" customWidth="1"/>
    <col min="11001" max="11001" width="13.44140625" style="186" bestFit="1" customWidth="1"/>
    <col min="11002" max="11002" width="3.6640625" style="186" customWidth="1"/>
    <col min="11003" max="11003" width="12.88671875" style="186" bestFit="1" customWidth="1"/>
    <col min="11004" max="11004" width="3.6640625" style="186" customWidth="1"/>
    <col min="11005" max="11005" width="14.33203125" style="186" bestFit="1" customWidth="1"/>
    <col min="11006" max="11006" width="3.6640625" style="186" customWidth="1"/>
    <col min="11007" max="11007" width="15" style="186" bestFit="1" customWidth="1"/>
    <col min="11008" max="11008" width="3" style="186" customWidth="1"/>
    <col min="11009" max="11009" width="15.33203125" style="186" bestFit="1" customWidth="1"/>
    <col min="11010" max="11011" width="9.109375" style="186"/>
    <col min="11012" max="11012" width="17.5546875" style="186" bestFit="1" customWidth="1"/>
    <col min="11013" max="11254" width="9.109375" style="186"/>
    <col min="11255" max="11255" width="21.5546875" style="186" customWidth="1"/>
    <col min="11256" max="11256" width="3.6640625" style="186" customWidth="1"/>
    <col min="11257" max="11257" width="13.44140625" style="186" bestFit="1" customWidth="1"/>
    <col min="11258" max="11258" width="3.6640625" style="186" customWidth="1"/>
    <col min="11259" max="11259" width="12.88671875" style="186" bestFit="1" customWidth="1"/>
    <col min="11260" max="11260" width="3.6640625" style="186" customWidth="1"/>
    <col min="11261" max="11261" width="14.33203125" style="186" bestFit="1" customWidth="1"/>
    <col min="11262" max="11262" width="3.6640625" style="186" customWidth="1"/>
    <col min="11263" max="11263" width="15" style="186" bestFit="1" customWidth="1"/>
    <col min="11264" max="11264" width="3" style="186" customWidth="1"/>
    <col min="11265" max="11265" width="15.33203125" style="186" bestFit="1" customWidth="1"/>
    <col min="11266" max="11267" width="9.109375" style="186"/>
    <col min="11268" max="11268" width="17.5546875" style="186" bestFit="1" customWidth="1"/>
    <col min="11269" max="11510" width="9.109375" style="186"/>
    <col min="11511" max="11511" width="21.5546875" style="186" customWidth="1"/>
    <col min="11512" max="11512" width="3.6640625" style="186" customWidth="1"/>
    <col min="11513" max="11513" width="13.44140625" style="186" bestFit="1" customWidth="1"/>
    <col min="11514" max="11514" width="3.6640625" style="186" customWidth="1"/>
    <col min="11515" max="11515" width="12.88671875" style="186" bestFit="1" customWidth="1"/>
    <col min="11516" max="11516" width="3.6640625" style="186" customWidth="1"/>
    <col min="11517" max="11517" width="14.33203125" style="186" bestFit="1" customWidth="1"/>
    <col min="11518" max="11518" width="3.6640625" style="186" customWidth="1"/>
    <col min="11519" max="11519" width="15" style="186" bestFit="1" customWidth="1"/>
    <col min="11520" max="11520" width="3" style="186" customWidth="1"/>
    <col min="11521" max="11521" width="15.33203125" style="186" bestFit="1" customWidth="1"/>
    <col min="11522" max="11523" width="9.109375" style="186"/>
    <col min="11524" max="11524" width="17.5546875" style="186" bestFit="1" customWidth="1"/>
    <col min="11525" max="11766" width="9.109375" style="186"/>
    <col min="11767" max="11767" width="21.5546875" style="186" customWidth="1"/>
    <col min="11768" max="11768" width="3.6640625" style="186" customWidth="1"/>
    <col min="11769" max="11769" width="13.44140625" style="186" bestFit="1" customWidth="1"/>
    <col min="11770" max="11770" width="3.6640625" style="186" customWidth="1"/>
    <col min="11771" max="11771" width="12.88671875" style="186" bestFit="1" customWidth="1"/>
    <col min="11772" max="11772" width="3.6640625" style="186" customWidth="1"/>
    <col min="11773" max="11773" width="14.33203125" style="186" bestFit="1" customWidth="1"/>
    <col min="11774" max="11774" width="3.6640625" style="186" customWidth="1"/>
    <col min="11775" max="11775" width="15" style="186" bestFit="1" customWidth="1"/>
    <col min="11776" max="11776" width="3" style="186" customWidth="1"/>
    <col min="11777" max="11777" width="15.33203125" style="186" bestFit="1" customWidth="1"/>
    <col min="11778" max="11779" width="9.109375" style="186"/>
    <col min="11780" max="11780" width="17.5546875" style="186" bestFit="1" customWidth="1"/>
    <col min="11781" max="12022" width="9.109375" style="186"/>
    <col min="12023" max="12023" width="21.5546875" style="186" customWidth="1"/>
    <col min="12024" max="12024" width="3.6640625" style="186" customWidth="1"/>
    <col min="12025" max="12025" width="13.44140625" style="186" bestFit="1" customWidth="1"/>
    <col min="12026" max="12026" width="3.6640625" style="186" customWidth="1"/>
    <col min="12027" max="12027" width="12.88671875" style="186" bestFit="1" customWidth="1"/>
    <col min="12028" max="12028" width="3.6640625" style="186" customWidth="1"/>
    <col min="12029" max="12029" width="14.33203125" style="186" bestFit="1" customWidth="1"/>
    <col min="12030" max="12030" width="3.6640625" style="186" customWidth="1"/>
    <col min="12031" max="12031" width="15" style="186" bestFit="1" customWidth="1"/>
    <col min="12032" max="12032" width="3" style="186" customWidth="1"/>
    <col min="12033" max="12033" width="15.33203125" style="186" bestFit="1" customWidth="1"/>
    <col min="12034" max="12035" width="9.109375" style="186"/>
    <col min="12036" max="12036" width="17.5546875" style="186" bestFit="1" customWidth="1"/>
    <col min="12037" max="12278" width="9.109375" style="186"/>
    <col min="12279" max="12279" width="21.5546875" style="186" customWidth="1"/>
    <col min="12280" max="12280" width="3.6640625" style="186" customWidth="1"/>
    <col min="12281" max="12281" width="13.44140625" style="186" bestFit="1" customWidth="1"/>
    <col min="12282" max="12282" width="3.6640625" style="186" customWidth="1"/>
    <col min="12283" max="12283" width="12.88671875" style="186" bestFit="1" customWidth="1"/>
    <col min="12284" max="12284" width="3.6640625" style="186" customWidth="1"/>
    <col min="12285" max="12285" width="14.33203125" style="186" bestFit="1" customWidth="1"/>
    <col min="12286" max="12286" width="3.6640625" style="186" customWidth="1"/>
    <col min="12287" max="12287" width="15" style="186" bestFit="1" customWidth="1"/>
    <col min="12288" max="12288" width="3" style="186" customWidth="1"/>
    <col min="12289" max="12289" width="15.33203125" style="186" bestFit="1" customWidth="1"/>
    <col min="12290" max="12291" width="9.109375" style="186"/>
    <col min="12292" max="12292" width="17.5546875" style="186" bestFit="1" customWidth="1"/>
    <col min="12293" max="12534" width="9.109375" style="186"/>
    <col min="12535" max="12535" width="21.5546875" style="186" customWidth="1"/>
    <col min="12536" max="12536" width="3.6640625" style="186" customWidth="1"/>
    <col min="12537" max="12537" width="13.44140625" style="186" bestFit="1" customWidth="1"/>
    <col min="12538" max="12538" width="3.6640625" style="186" customWidth="1"/>
    <col min="12539" max="12539" width="12.88671875" style="186" bestFit="1" customWidth="1"/>
    <col min="12540" max="12540" width="3.6640625" style="186" customWidth="1"/>
    <col min="12541" max="12541" width="14.33203125" style="186" bestFit="1" customWidth="1"/>
    <col min="12542" max="12542" width="3.6640625" style="186" customWidth="1"/>
    <col min="12543" max="12543" width="15" style="186" bestFit="1" customWidth="1"/>
    <col min="12544" max="12544" width="3" style="186" customWidth="1"/>
    <col min="12545" max="12545" width="15.33203125" style="186" bestFit="1" customWidth="1"/>
    <col min="12546" max="12547" width="9.109375" style="186"/>
    <col min="12548" max="12548" width="17.5546875" style="186" bestFit="1" customWidth="1"/>
    <col min="12549" max="12790" width="9.109375" style="186"/>
    <col min="12791" max="12791" width="21.5546875" style="186" customWidth="1"/>
    <col min="12792" max="12792" width="3.6640625" style="186" customWidth="1"/>
    <col min="12793" max="12793" width="13.44140625" style="186" bestFit="1" customWidth="1"/>
    <col min="12794" max="12794" width="3.6640625" style="186" customWidth="1"/>
    <col min="12795" max="12795" width="12.88671875" style="186" bestFit="1" customWidth="1"/>
    <col min="12796" max="12796" width="3.6640625" style="186" customWidth="1"/>
    <col min="12797" max="12797" width="14.33203125" style="186" bestFit="1" customWidth="1"/>
    <col min="12798" max="12798" width="3.6640625" style="186" customWidth="1"/>
    <col min="12799" max="12799" width="15" style="186" bestFit="1" customWidth="1"/>
    <col min="12800" max="12800" width="3" style="186" customWidth="1"/>
    <col min="12801" max="12801" width="15.33203125" style="186" bestFit="1" customWidth="1"/>
    <col min="12802" max="12803" width="9.109375" style="186"/>
    <col min="12804" max="12804" width="17.5546875" style="186" bestFit="1" customWidth="1"/>
    <col min="12805" max="13046" width="9.109375" style="186"/>
    <col min="13047" max="13047" width="21.5546875" style="186" customWidth="1"/>
    <col min="13048" max="13048" width="3.6640625" style="186" customWidth="1"/>
    <col min="13049" max="13049" width="13.44140625" style="186" bestFit="1" customWidth="1"/>
    <col min="13050" max="13050" width="3.6640625" style="186" customWidth="1"/>
    <col min="13051" max="13051" width="12.88671875" style="186" bestFit="1" customWidth="1"/>
    <col min="13052" max="13052" width="3.6640625" style="186" customWidth="1"/>
    <col min="13053" max="13053" width="14.33203125" style="186" bestFit="1" customWidth="1"/>
    <col min="13054" max="13054" width="3.6640625" style="186" customWidth="1"/>
    <col min="13055" max="13055" width="15" style="186" bestFit="1" customWidth="1"/>
    <col min="13056" max="13056" width="3" style="186" customWidth="1"/>
    <col min="13057" max="13057" width="15.33203125" style="186" bestFit="1" customWidth="1"/>
    <col min="13058" max="13059" width="9.109375" style="186"/>
    <col min="13060" max="13060" width="17.5546875" style="186" bestFit="1" customWidth="1"/>
    <col min="13061" max="13302" width="9.109375" style="186"/>
    <col min="13303" max="13303" width="21.5546875" style="186" customWidth="1"/>
    <col min="13304" max="13304" width="3.6640625" style="186" customWidth="1"/>
    <col min="13305" max="13305" width="13.44140625" style="186" bestFit="1" customWidth="1"/>
    <col min="13306" max="13306" width="3.6640625" style="186" customWidth="1"/>
    <col min="13307" max="13307" width="12.88671875" style="186" bestFit="1" customWidth="1"/>
    <col min="13308" max="13308" width="3.6640625" style="186" customWidth="1"/>
    <col min="13309" max="13309" width="14.33203125" style="186" bestFit="1" customWidth="1"/>
    <col min="13310" max="13310" width="3.6640625" style="186" customWidth="1"/>
    <col min="13311" max="13311" width="15" style="186" bestFit="1" customWidth="1"/>
    <col min="13312" max="13312" width="3" style="186" customWidth="1"/>
    <col min="13313" max="13313" width="15.33203125" style="186" bestFit="1" customWidth="1"/>
    <col min="13314" max="13315" width="9.109375" style="186"/>
    <col min="13316" max="13316" width="17.5546875" style="186" bestFit="1" customWidth="1"/>
    <col min="13317" max="13558" width="9.109375" style="186"/>
    <col min="13559" max="13559" width="21.5546875" style="186" customWidth="1"/>
    <col min="13560" max="13560" width="3.6640625" style="186" customWidth="1"/>
    <col min="13561" max="13561" width="13.44140625" style="186" bestFit="1" customWidth="1"/>
    <col min="13562" max="13562" width="3.6640625" style="186" customWidth="1"/>
    <col min="13563" max="13563" width="12.88671875" style="186" bestFit="1" customWidth="1"/>
    <col min="13564" max="13564" width="3.6640625" style="186" customWidth="1"/>
    <col min="13565" max="13565" width="14.33203125" style="186" bestFit="1" customWidth="1"/>
    <col min="13566" max="13566" width="3.6640625" style="186" customWidth="1"/>
    <col min="13567" max="13567" width="15" style="186" bestFit="1" customWidth="1"/>
    <col min="13568" max="13568" width="3" style="186" customWidth="1"/>
    <col min="13569" max="13569" width="15.33203125" style="186" bestFit="1" customWidth="1"/>
    <col min="13570" max="13571" width="9.109375" style="186"/>
    <col min="13572" max="13572" width="17.5546875" style="186" bestFit="1" customWidth="1"/>
    <col min="13573" max="13814" width="9.109375" style="186"/>
    <col min="13815" max="13815" width="21.5546875" style="186" customWidth="1"/>
    <col min="13816" max="13816" width="3.6640625" style="186" customWidth="1"/>
    <col min="13817" max="13817" width="13.44140625" style="186" bestFit="1" customWidth="1"/>
    <col min="13818" max="13818" width="3.6640625" style="186" customWidth="1"/>
    <col min="13819" max="13819" width="12.88671875" style="186" bestFit="1" customWidth="1"/>
    <col min="13820" max="13820" width="3.6640625" style="186" customWidth="1"/>
    <col min="13821" max="13821" width="14.33203125" style="186" bestFit="1" customWidth="1"/>
    <col min="13822" max="13822" width="3.6640625" style="186" customWidth="1"/>
    <col min="13823" max="13823" width="15" style="186" bestFit="1" customWidth="1"/>
    <col min="13824" max="13824" width="3" style="186" customWidth="1"/>
    <col min="13825" max="13825" width="15.33203125" style="186" bestFit="1" customWidth="1"/>
    <col min="13826" max="13827" width="9.109375" style="186"/>
    <col min="13828" max="13828" width="17.5546875" style="186" bestFit="1" customWidth="1"/>
    <col min="13829" max="14070" width="9.109375" style="186"/>
    <col min="14071" max="14071" width="21.5546875" style="186" customWidth="1"/>
    <col min="14072" max="14072" width="3.6640625" style="186" customWidth="1"/>
    <col min="14073" max="14073" width="13.44140625" style="186" bestFit="1" customWidth="1"/>
    <col min="14074" max="14074" width="3.6640625" style="186" customWidth="1"/>
    <col min="14075" max="14075" width="12.88671875" style="186" bestFit="1" customWidth="1"/>
    <col min="14076" max="14076" width="3.6640625" style="186" customWidth="1"/>
    <col min="14077" max="14077" width="14.33203125" style="186" bestFit="1" customWidth="1"/>
    <col min="14078" max="14078" width="3.6640625" style="186" customWidth="1"/>
    <col min="14079" max="14079" width="15" style="186" bestFit="1" customWidth="1"/>
    <col min="14080" max="14080" width="3" style="186" customWidth="1"/>
    <col min="14081" max="14081" width="15.33203125" style="186" bestFit="1" customWidth="1"/>
    <col min="14082" max="14083" width="9.109375" style="186"/>
    <col min="14084" max="14084" width="17.5546875" style="186" bestFit="1" customWidth="1"/>
    <col min="14085" max="14326" width="9.109375" style="186"/>
    <col min="14327" max="14327" width="21.5546875" style="186" customWidth="1"/>
    <col min="14328" max="14328" width="3.6640625" style="186" customWidth="1"/>
    <col min="14329" max="14329" width="13.44140625" style="186" bestFit="1" customWidth="1"/>
    <col min="14330" max="14330" width="3.6640625" style="186" customWidth="1"/>
    <col min="14331" max="14331" width="12.88671875" style="186" bestFit="1" customWidth="1"/>
    <col min="14332" max="14332" width="3.6640625" style="186" customWidth="1"/>
    <col min="14333" max="14333" width="14.33203125" style="186" bestFit="1" customWidth="1"/>
    <col min="14334" max="14334" width="3.6640625" style="186" customWidth="1"/>
    <col min="14335" max="14335" width="15" style="186" bestFit="1" customWidth="1"/>
    <col min="14336" max="14336" width="3" style="186" customWidth="1"/>
    <col min="14337" max="14337" width="15.33203125" style="186" bestFit="1" customWidth="1"/>
    <col min="14338" max="14339" width="9.109375" style="186"/>
    <col min="14340" max="14340" width="17.5546875" style="186" bestFit="1" customWidth="1"/>
    <col min="14341" max="14582" width="9.109375" style="186"/>
    <col min="14583" max="14583" width="21.5546875" style="186" customWidth="1"/>
    <col min="14584" max="14584" width="3.6640625" style="186" customWidth="1"/>
    <col min="14585" max="14585" width="13.44140625" style="186" bestFit="1" customWidth="1"/>
    <col min="14586" max="14586" width="3.6640625" style="186" customWidth="1"/>
    <col min="14587" max="14587" width="12.88671875" style="186" bestFit="1" customWidth="1"/>
    <col min="14588" max="14588" width="3.6640625" style="186" customWidth="1"/>
    <col min="14589" max="14589" width="14.33203125" style="186" bestFit="1" customWidth="1"/>
    <col min="14590" max="14590" width="3.6640625" style="186" customWidth="1"/>
    <col min="14591" max="14591" width="15" style="186" bestFit="1" customWidth="1"/>
    <col min="14592" max="14592" width="3" style="186" customWidth="1"/>
    <col min="14593" max="14593" width="15.33203125" style="186" bestFit="1" customWidth="1"/>
    <col min="14594" max="14595" width="9.109375" style="186"/>
    <col min="14596" max="14596" width="17.5546875" style="186" bestFit="1" customWidth="1"/>
    <col min="14597" max="14838" width="9.109375" style="186"/>
    <col min="14839" max="14839" width="21.5546875" style="186" customWidth="1"/>
    <col min="14840" max="14840" width="3.6640625" style="186" customWidth="1"/>
    <col min="14841" max="14841" width="13.44140625" style="186" bestFit="1" customWidth="1"/>
    <col min="14842" max="14842" width="3.6640625" style="186" customWidth="1"/>
    <col min="14843" max="14843" width="12.88671875" style="186" bestFit="1" customWidth="1"/>
    <col min="14844" max="14844" width="3.6640625" style="186" customWidth="1"/>
    <col min="14845" max="14845" width="14.33203125" style="186" bestFit="1" customWidth="1"/>
    <col min="14846" max="14846" width="3.6640625" style="186" customWidth="1"/>
    <col min="14847" max="14847" width="15" style="186" bestFit="1" customWidth="1"/>
    <col min="14848" max="14848" width="3" style="186" customWidth="1"/>
    <col min="14849" max="14849" width="15.33203125" style="186" bestFit="1" customWidth="1"/>
    <col min="14850" max="14851" width="9.109375" style="186"/>
    <col min="14852" max="14852" width="17.5546875" style="186" bestFit="1" customWidth="1"/>
    <col min="14853" max="15094" width="9.109375" style="186"/>
    <col min="15095" max="15095" width="21.5546875" style="186" customWidth="1"/>
    <col min="15096" max="15096" width="3.6640625" style="186" customWidth="1"/>
    <col min="15097" max="15097" width="13.44140625" style="186" bestFit="1" customWidth="1"/>
    <col min="15098" max="15098" width="3.6640625" style="186" customWidth="1"/>
    <col min="15099" max="15099" width="12.88671875" style="186" bestFit="1" customWidth="1"/>
    <col min="15100" max="15100" width="3.6640625" style="186" customWidth="1"/>
    <col min="15101" max="15101" width="14.33203125" style="186" bestFit="1" customWidth="1"/>
    <col min="15102" max="15102" width="3.6640625" style="186" customWidth="1"/>
    <col min="15103" max="15103" width="15" style="186" bestFit="1" customWidth="1"/>
    <col min="15104" max="15104" width="3" style="186" customWidth="1"/>
    <col min="15105" max="15105" width="15.33203125" style="186" bestFit="1" customWidth="1"/>
    <col min="15106" max="15107" width="9.109375" style="186"/>
    <col min="15108" max="15108" width="17.5546875" style="186" bestFit="1" customWidth="1"/>
    <col min="15109" max="15350" width="9.109375" style="186"/>
    <col min="15351" max="15351" width="21.5546875" style="186" customWidth="1"/>
    <col min="15352" max="15352" width="3.6640625" style="186" customWidth="1"/>
    <col min="15353" max="15353" width="13.44140625" style="186" bestFit="1" customWidth="1"/>
    <col min="15354" max="15354" width="3.6640625" style="186" customWidth="1"/>
    <col min="15355" max="15355" width="12.88671875" style="186" bestFit="1" customWidth="1"/>
    <col min="15356" max="15356" width="3.6640625" style="186" customWidth="1"/>
    <col min="15357" max="15357" width="14.33203125" style="186" bestFit="1" customWidth="1"/>
    <col min="15358" max="15358" width="3.6640625" style="186" customWidth="1"/>
    <col min="15359" max="15359" width="15" style="186" bestFit="1" customWidth="1"/>
    <col min="15360" max="15360" width="3" style="186" customWidth="1"/>
    <col min="15361" max="15361" width="15.33203125" style="186" bestFit="1" customWidth="1"/>
    <col min="15362" max="15363" width="9.109375" style="186"/>
    <col min="15364" max="15364" width="17.5546875" style="186" bestFit="1" customWidth="1"/>
    <col min="15365" max="15606" width="9.109375" style="186"/>
    <col min="15607" max="15607" width="21.5546875" style="186" customWidth="1"/>
    <col min="15608" max="15608" width="3.6640625" style="186" customWidth="1"/>
    <col min="15609" max="15609" width="13.44140625" style="186" bestFit="1" customWidth="1"/>
    <col min="15610" max="15610" width="3.6640625" style="186" customWidth="1"/>
    <col min="15611" max="15611" width="12.88671875" style="186" bestFit="1" customWidth="1"/>
    <col min="15612" max="15612" width="3.6640625" style="186" customWidth="1"/>
    <col min="15613" max="15613" width="14.33203125" style="186" bestFit="1" customWidth="1"/>
    <col min="15614" max="15614" width="3.6640625" style="186" customWidth="1"/>
    <col min="15615" max="15615" width="15" style="186" bestFit="1" customWidth="1"/>
    <col min="15616" max="15616" width="3" style="186" customWidth="1"/>
    <col min="15617" max="15617" width="15.33203125" style="186" bestFit="1" customWidth="1"/>
    <col min="15618" max="15619" width="9.109375" style="186"/>
    <col min="15620" max="15620" width="17.5546875" style="186" bestFit="1" customWidth="1"/>
    <col min="15621" max="15862" width="9.109375" style="186"/>
    <col min="15863" max="15863" width="21.5546875" style="186" customWidth="1"/>
    <col min="15864" max="15864" width="3.6640625" style="186" customWidth="1"/>
    <col min="15865" max="15865" width="13.44140625" style="186" bestFit="1" customWidth="1"/>
    <col min="15866" max="15866" width="3.6640625" style="186" customWidth="1"/>
    <col min="15867" max="15867" width="12.88671875" style="186" bestFit="1" customWidth="1"/>
    <col min="15868" max="15868" width="3.6640625" style="186" customWidth="1"/>
    <col min="15869" max="15869" width="14.33203125" style="186" bestFit="1" customWidth="1"/>
    <col min="15870" max="15870" width="3.6640625" style="186" customWidth="1"/>
    <col min="15871" max="15871" width="15" style="186" bestFit="1" customWidth="1"/>
    <col min="15872" max="15872" width="3" style="186" customWidth="1"/>
    <col min="15873" max="15873" width="15.33203125" style="186" bestFit="1" customWidth="1"/>
    <col min="15874" max="15875" width="9.109375" style="186"/>
    <col min="15876" max="15876" width="17.5546875" style="186" bestFit="1" customWidth="1"/>
    <col min="15877" max="16118" width="9.109375" style="186"/>
    <col min="16119" max="16119" width="21.5546875" style="186" customWidth="1"/>
    <col min="16120" max="16120" width="3.6640625" style="186" customWidth="1"/>
    <col min="16121" max="16121" width="13.44140625" style="186" bestFit="1" customWidth="1"/>
    <col min="16122" max="16122" width="3.6640625" style="186" customWidth="1"/>
    <col min="16123" max="16123" width="12.88671875" style="186" bestFit="1" customWidth="1"/>
    <col min="16124" max="16124" width="3.6640625" style="186" customWidth="1"/>
    <col min="16125" max="16125" width="14.33203125" style="186" bestFit="1" customWidth="1"/>
    <col min="16126" max="16126" width="3.6640625" style="186" customWidth="1"/>
    <col min="16127" max="16127" width="15" style="186" bestFit="1" customWidth="1"/>
    <col min="16128" max="16128" width="3" style="186" customWidth="1"/>
    <col min="16129" max="16129" width="15.33203125" style="186" bestFit="1" customWidth="1"/>
    <col min="16130" max="16131" width="9.109375" style="186"/>
    <col min="16132" max="16132" width="17.5546875" style="186" bestFit="1" customWidth="1"/>
    <col min="16133" max="16373" width="9.109375" style="186"/>
    <col min="16374" max="16384" width="9.109375" style="186" customWidth="1"/>
  </cols>
  <sheetData>
    <row r="1" spans="1:8" s="255" customFormat="1">
      <c r="A1" s="253"/>
      <c r="B1" s="253"/>
      <c r="C1" s="253"/>
      <c r="D1" s="253"/>
      <c r="E1" s="253"/>
      <c r="F1" s="254"/>
      <c r="G1" s="253"/>
      <c r="H1" s="185"/>
    </row>
    <row r="2" spans="1:8" ht="7.95" customHeight="1"/>
    <row r="3" spans="1:8">
      <c r="A3" s="486" t="s">
        <v>0</v>
      </c>
      <c r="B3" s="486"/>
      <c r="C3" s="486"/>
      <c r="D3" s="486"/>
      <c r="E3" s="486"/>
      <c r="F3" s="486"/>
      <c r="G3" s="486"/>
      <c r="H3" s="486"/>
    </row>
    <row r="4" spans="1:8">
      <c r="A4" s="486" t="s">
        <v>274</v>
      </c>
      <c r="B4" s="486"/>
      <c r="C4" s="486"/>
      <c r="D4" s="486"/>
      <c r="E4" s="486"/>
      <c r="F4" s="486"/>
      <c r="G4" s="486"/>
      <c r="H4" s="486"/>
    </row>
    <row r="5" spans="1:8">
      <c r="A5" s="452" t="s">
        <v>179</v>
      </c>
      <c r="B5" s="452"/>
      <c r="C5" s="452"/>
      <c r="D5" s="452"/>
      <c r="E5" s="452"/>
      <c r="F5" s="452"/>
      <c r="G5" s="452"/>
      <c r="H5" s="452"/>
    </row>
    <row r="6" spans="1:8">
      <c r="A6" s="487" t="s">
        <v>660</v>
      </c>
      <c r="B6" s="487"/>
      <c r="C6" s="487"/>
      <c r="D6" s="487"/>
      <c r="E6" s="487"/>
      <c r="F6" s="487"/>
      <c r="G6" s="487"/>
      <c r="H6" s="487"/>
    </row>
    <row r="7" spans="1:8" ht="3.9" customHeight="1">
      <c r="A7" s="258"/>
      <c r="B7" s="258"/>
      <c r="C7" s="258"/>
    </row>
    <row r="8" spans="1:8" ht="5.4" customHeight="1">
      <c r="A8" s="259"/>
      <c r="B8" s="259"/>
      <c r="C8" s="259"/>
    </row>
    <row r="9" spans="1:8">
      <c r="A9" s="452" t="s">
        <v>668</v>
      </c>
      <c r="B9" s="452"/>
      <c r="C9" s="452"/>
      <c r="D9" s="452"/>
      <c r="E9" s="452"/>
      <c r="F9" s="452"/>
      <c r="G9" s="452"/>
      <c r="H9" s="452"/>
    </row>
    <row r="10" spans="1:8" ht="5.0999999999999996" customHeight="1"/>
    <row r="11" spans="1:8">
      <c r="A11" s="488"/>
      <c r="B11" s="488"/>
      <c r="C11" s="488"/>
      <c r="D11" s="488"/>
      <c r="E11" s="488"/>
      <c r="F11" s="488"/>
      <c r="G11" s="488"/>
      <c r="H11" s="488"/>
    </row>
    <row r="12" spans="1:8">
      <c r="D12" s="261"/>
      <c r="E12" s="261"/>
      <c r="F12" s="262"/>
      <c r="G12" s="261"/>
    </row>
    <row r="13" spans="1:8" ht="13.8" thickBot="1">
      <c r="A13" s="214"/>
      <c r="B13" s="485" t="s">
        <v>584</v>
      </c>
      <c r="C13" s="485"/>
      <c r="D13" s="485"/>
      <c r="E13" s="263"/>
      <c r="F13" s="264" t="s">
        <v>584</v>
      </c>
      <c r="G13" s="265"/>
      <c r="H13" s="263"/>
    </row>
    <row r="14" spans="1:8">
      <c r="A14" s="214"/>
      <c r="B14" s="214" t="s">
        <v>180</v>
      </c>
      <c r="C14" s="214" t="s">
        <v>180</v>
      </c>
      <c r="D14" s="263" t="s">
        <v>45</v>
      </c>
      <c r="E14" s="265"/>
      <c r="F14" s="266" t="s">
        <v>180</v>
      </c>
      <c r="G14" s="263"/>
      <c r="H14" s="263"/>
    </row>
    <row r="15" spans="1:8">
      <c r="A15" s="214"/>
      <c r="B15" s="214" t="s">
        <v>181</v>
      </c>
      <c r="C15" s="214" t="s">
        <v>182</v>
      </c>
      <c r="D15" s="263" t="s">
        <v>180</v>
      </c>
      <c r="E15" s="263"/>
      <c r="F15" s="266" t="s">
        <v>183</v>
      </c>
      <c r="G15" s="263"/>
      <c r="H15" s="263"/>
    </row>
    <row r="16" spans="1:8">
      <c r="A16" s="214" t="s">
        <v>60</v>
      </c>
      <c r="B16" s="263" t="s">
        <v>184</v>
      </c>
      <c r="C16" s="263" t="s">
        <v>184</v>
      </c>
      <c r="D16" s="263" t="s">
        <v>184</v>
      </c>
      <c r="E16" s="263"/>
      <c r="F16" s="266" t="s">
        <v>185</v>
      </c>
      <c r="G16" s="263"/>
      <c r="H16" s="263" t="s">
        <v>186</v>
      </c>
    </row>
    <row r="17" spans="1:8">
      <c r="A17" s="186" t="s">
        <v>620</v>
      </c>
      <c r="B17" s="267">
        <v>0</v>
      </c>
      <c r="C17" s="267">
        <v>0</v>
      </c>
      <c r="D17" s="267">
        <f>+B17+C17</f>
        <v>0</v>
      </c>
      <c r="E17" s="267"/>
      <c r="F17" s="267">
        <v>0</v>
      </c>
      <c r="G17" s="267"/>
      <c r="H17" s="267">
        <f>-D17-F17</f>
        <v>0</v>
      </c>
    </row>
    <row r="18" spans="1:8">
      <c r="A18" s="186" t="s">
        <v>621</v>
      </c>
      <c r="B18" s="267">
        <v>0</v>
      </c>
      <c r="C18" s="267">
        <v>0</v>
      </c>
      <c r="D18" s="267">
        <f t="shared" ref="D18:D49" si="0">+B18+C18</f>
        <v>0</v>
      </c>
      <c r="E18" s="267"/>
      <c r="F18" s="267">
        <v>0</v>
      </c>
      <c r="G18" s="267"/>
      <c r="H18" s="267">
        <f t="shared" ref="H18:H49" si="1">-D18-F18</f>
        <v>0</v>
      </c>
    </row>
    <row r="19" spans="1:8">
      <c r="A19" s="186" t="s">
        <v>622</v>
      </c>
      <c r="B19" s="267">
        <v>0</v>
      </c>
      <c r="C19" s="267">
        <v>0</v>
      </c>
      <c r="D19" s="267">
        <f t="shared" si="0"/>
        <v>0</v>
      </c>
      <c r="E19" s="267"/>
      <c r="F19" s="267">
        <v>0</v>
      </c>
      <c r="G19" s="267"/>
      <c r="H19" s="267">
        <f t="shared" si="1"/>
        <v>0</v>
      </c>
    </row>
    <row r="20" spans="1:8">
      <c r="A20" s="186" t="s">
        <v>623</v>
      </c>
      <c r="B20" s="267">
        <v>0</v>
      </c>
      <c r="C20" s="267">
        <v>0</v>
      </c>
      <c r="D20" s="267">
        <f t="shared" si="0"/>
        <v>0</v>
      </c>
      <c r="E20" s="267"/>
      <c r="F20" s="267">
        <v>0</v>
      </c>
      <c r="G20" s="267"/>
      <c r="H20" s="267">
        <f t="shared" si="1"/>
        <v>0</v>
      </c>
    </row>
    <row r="21" spans="1:8">
      <c r="A21" s="186" t="s">
        <v>187</v>
      </c>
      <c r="B21" s="267">
        <v>152257.13</v>
      </c>
      <c r="C21" s="267">
        <v>0</v>
      </c>
      <c r="D21" s="267">
        <f t="shared" si="0"/>
        <v>152257.13</v>
      </c>
      <c r="E21" s="267"/>
      <c r="F21" s="267">
        <v>-151818.63</v>
      </c>
      <c r="G21" s="267"/>
      <c r="H21" s="267">
        <f t="shared" si="1"/>
        <v>-438.5</v>
      </c>
    </row>
    <row r="22" spans="1:8">
      <c r="A22" s="186" t="s">
        <v>624</v>
      </c>
      <c r="B22" s="267">
        <v>77514.249999999971</v>
      </c>
      <c r="C22" s="267">
        <v>0</v>
      </c>
      <c r="D22" s="267">
        <f t="shared" si="0"/>
        <v>77514.249999999971</v>
      </c>
      <c r="E22" s="267"/>
      <c r="F22" s="267">
        <v>-10531.470000000001</v>
      </c>
      <c r="G22" s="267"/>
      <c r="H22" s="268">
        <f t="shared" si="1"/>
        <v>-66982.77999999997</v>
      </c>
    </row>
    <row r="23" spans="1:8">
      <c r="A23" s="186" t="s">
        <v>625</v>
      </c>
      <c r="B23" s="267">
        <v>125100.15999999999</v>
      </c>
      <c r="C23" s="267">
        <v>587104.72000000032</v>
      </c>
      <c r="D23" s="267">
        <f t="shared" si="0"/>
        <v>712204.88000000035</v>
      </c>
      <c r="E23" s="267"/>
      <c r="F23" s="267">
        <v>-132253.77000000002</v>
      </c>
      <c r="G23" s="267"/>
      <c r="H23" s="267">
        <f t="shared" si="1"/>
        <v>-579951.11000000034</v>
      </c>
    </row>
    <row r="24" spans="1:8">
      <c r="A24" s="186" t="s">
        <v>143</v>
      </c>
      <c r="B24" s="267">
        <v>-39.339999999999996</v>
      </c>
      <c r="C24" s="267">
        <v>-98.100000000000051</v>
      </c>
      <c r="D24" s="267">
        <f t="shared" si="0"/>
        <v>-137.44000000000005</v>
      </c>
      <c r="E24" s="267"/>
      <c r="F24" s="267">
        <v>0</v>
      </c>
      <c r="G24" s="267"/>
      <c r="H24" s="267">
        <f t="shared" si="1"/>
        <v>137.44000000000005</v>
      </c>
    </row>
    <row r="25" spans="1:8">
      <c r="A25" s="186" t="s">
        <v>607</v>
      </c>
      <c r="B25" s="267">
        <v>150</v>
      </c>
      <c r="C25" s="267">
        <v>0</v>
      </c>
      <c r="D25" s="267">
        <f t="shared" si="0"/>
        <v>150</v>
      </c>
      <c r="E25" s="267"/>
      <c r="F25" s="267">
        <v>-150</v>
      </c>
      <c r="G25" s="267"/>
      <c r="H25" s="267">
        <f t="shared" si="1"/>
        <v>0</v>
      </c>
    </row>
    <row r="26" spans="1:8">
      <c r="A26" s="186" t="s">
        <v>626</v>
      </c>
      <c r="B26" s="267">
        <v>0</v>
      </c>
      <c r="C26" s="267">
        <v>0</v>
      </c>
      <c r="D26" s="267">
        <f t="shared" si="0"/>
        <v>0</v>
      </c>
      <c r="E26" s="267"/>
      <c r="F26" s="267">
        <v>0</v>
      </c>
      <c r="G26" s="267"/>
      <c r="H26" s="267">
        <f t="shared" si="1"/>
        <v>0</v>
      </c>
    </row>
    <row r="27" spans="1:8">
      <c r="A27" s="186" t="s">
        <v>627</v>
      </c>
      <c r="B27" s="267">
        <v>0</v>
      </c>
      <c r="C27" s="267">
        <v>0</v>
      </c>
      <c r="D27" s="267">
        <f t="shared" si="0"/>
        <v>0</v>
      </c>
      <c r="E27" s="267"/>
      <c r="F27" s="267">
        <v>0</v>
      </c>
      <c r="G27" s="267"/>
      <c r="H27" s="267">
        <f t="shared" si="1"/>
        <v>0</v>
      </c>
    </row>
    <row r="28" spans="1:8">
      <c r="A28" s="186" t="s">
        <v>628</v>
      </c>
      <c r="B28" s="267">
        <v>389.42999999999995</v>
      </c>
      <c r="C28" s="267">
        <v>2664.94</v>
      </c>
      <c r="D28" s="267">
        <f t="shared" si="0"/>
        <v>3054.37</v>
      </c>
      <c r="E28" s="267"/>
      <c r="F28" s="267">
        <v>0</v>
      </c>
      <c r="G28" s="267"/>
      <c r="H28" s="267">
        <f>-D28-F28</f>
        <v>-3054.37</v>
      </c>
    </row>
    <row r="29" spans="1:8">
      <c r="A29" s="186" t="s">
        <v>629</v>
      </c>
      <c r="B29" s="267">
        <v>283512.21000000002</v>
      </c>
      <c r="C29" s="267">
        <v>161096.84999999995</v>
      </c>
      <c r="D29" s="267">
        <f t="shared" si="0"/>
        <v>444609.05999999994</v>
      </c>
      <c r="E29" s="267"/>
      <c r="F29" s="267">
        <v>-311209.74</v>
      </c>
      <c r="G29" s="267"/>
      <c r="H29" s="267">
        <f t="shared" si="1"/>
        <v>-133399.31999999995</v>
      </c>
    </row>
    <row r="30" spans="1:8">
      <c r="A30" s="186" t="s">
        <v>630</v>
      </c>
      <c r="B30" s="267">
        <v>-32.29</v>
      </c>
      <c r="C30" s="267">
        <v>-168.92999999999998</v>
      </c>
      <c r="D30" s="267">
        <f t="shared" si="0"/>
        <v>-201.21999999999997</v>
      </c>
      <c r="E30" s="267"/>
      <c r="F30" s="268">
        <v>32.299999999999997</v>
      </c>
      <c r="G30" s="267"/>
      <c r="H30" s="267">
        <f t="shared" si="1"/>
        <v>168.91999999999996</v>
      </c>
    </row>
    <row r="31" spans="1:8">
      <c r="A31" s="186" t="s">
        <v>631</v>
      </c>
      <c r="B31" s="267">
        <v>-4.7100000000000009</v>
      </c>
      <c r="C31" s="267">
        <v>-24.630000000000006</v>
      </c>
      <c r="D31" s="267">
        <f t="shared" si="0"/>
        <v>-29.340000000000007</v>
      </c>
      <c r="E31" s="267"/>
      <c r="F31" s="268">
        <v>6.15</v>
      </c>
      <c r="G31" s="267"/>
      <c r="H31" s="267">
        <f t="shared" si="1"/>
        <v>23.190000000000005</v>
      </c>
    </row>
    <row r="32" spans="1:8">
      <c r="A32" s="186" t="s">
        <v>632</v>
      </c>
      <c r="B32" s="267">
        <v>169.54</v>
      </c>
      <c r="C32" s="267"/>
      <c r="D32" s="267">
        <f t="shared" si="0"/>
        <v>169.54</v>
      </c>
      <c r="E32" s="267"/>
      <c r="F32" s="267">
        <v>-334.98</v>
      </c>
      <c r="G32" s="267"/>
      <c r="H32" s="267">
        <f t="shared" si="1"/>
        <v>165.44000000000003</v>
      </c>
    </row>
    <row r="33" spans="1:8">
      <c r="A33" s="186" t="s">
        <v>633</v>
      </c>
      <c r="B33" s="267">
        <v>78301.329999999987</v>
      </c>
      <c r="C33" s="267">
        <v>-1300.6800000000003</v>
      </c>
      <c r="D33" s="267">
        <f t="shared" si="0"/>
        <v>77000.649999999994</v>
      </c>
      <c r="E33" s="267"/>
      <c r="F33" s="267">
        <v>-77650.48</v>
      </c>
      <c r="G33" s="267"/>
      <c r="H33" s="267">
        <f t="shared" si="1"/>
        <v>649.83000000000175</v>
      </c>
    </row>
    <row r="34" spans="1:8">
      <c r="A34" s="219">
        <v>568000</v>
      </c>
      <c r="B34" s="267">
        <v>0</v>
      </c>
      <c r="C34" s="267">
        <v>0</v>
      </c>
      <c r="D34" s="267">
        <f t="shared" si="0"/>
        <v>0</v>
      </c>
      <c r="E34" s="267"/>
      <c r="F34" s="267">
        <v>0</v>
      </c>
      <c r="G34" s="267"/>
      <c r="H34" s="267">
        <f t="shared" si="1"/>
        <v>0</v>
      </c>
    </row>
    <row r="35" spans="1:8">
      <c r="A35" s="186" t="s">
        <v>634</v>
      </c>
      <c r="B35" s="267">
        <v>-36.18</v>
      </c>
      <c r="C35" s="267">
        <v>-329.58</v>
      </c>
      <c r="D35" s="267">
        <f t="shared" si="0"/>
        <v>-365.76</v>
      </c>
      <c r="E35" s="267"/>
      <c r="F35" s="267">
        <v>76.64</v>
      </c>
      <c r="G35" s="267"/>
      <c r="H35" s="267">
        <f t="shared" si="1"/>
        <v>289.12</v>
      </c>
    </row>
    <row r="36" spans="1:8">
      <c r="A36" s="186" t="s">
        <v>606</v>
      </c>
      <c r="B36" s="267">
        <v>-1.759999999999998</v>
      </c>
      <c r="C36" s="267">
        <v>0</v>
      </c>
      <c r="D36" s="267">
        <f t="shared" si="0"/>
        <v>-1.759999999999998</v>
      </c>
      <c r="E36" s="267"/>
      <c r="F36" s="267">
        <v>0</v>
      </c>
      <c r="G36" s="267"/>
      <c r="H36" s="267">
        <f t="shared" si="1"/>
        <v>1.759999999999998</v>
      </c>
    </row>
    <row r="37" spans="1:8">
      <c r="A37" s="186" t="s">
        <v>604</v>
      </c>
      <c r="B37" s="267">
        <v>4.01</v>
      </c>
      <c r="C37" s="267">
        <v>26.430000000000003</v>
      </c>
      <c r="D37" s="267">
        <f t="shared" si="0"/>
        <v>30.440000000000005</v>
      </c>
      <c r="E37" s="267"/>
      <c r="F37" s="267">
        <v>0</v>
      </c>
      <c r="G37" s="267"/>
      <c r="H37" s="267">
        <f t="shared" si="1"/>
        <v>-30.440000000000005</v>
      </c>
    </row>
    <row r="38" spans="1:8">
      <c r="A38" s="186" t="s">
        <v>635</v>
      </c>
      <c r="B38" s="267">
        <v>0</v>
      </c>
      <c r="C38" s="267">
        <v>0</v>
      </c>
      <c r="D38" s="267">
        <f t="shared" si="0"/>
        <v>0</v>
      </c>
      <c r="E38" s="267"/>
      <c r="F38" s="267">
        <v>0</v>
      </c>
      <c r="G38" s="267"/>
      <c r="H38" s="267">
        <f t="shared" si="1"/>
        <v>0</v>
      </c>
    </row>
    <row r="39" spans="1:8">
      <c r="A39" s="186" t="s">
        <v>636</v>
      </c>
      <c r="B39" s="267">
        <v>83439.060000000012</v>
      </c>
      <c r="C39" s="267">
        <v>475046.51000000007</v>
      </c>
      <c r="D39" s="267">
        <f t="shared" si="0"/>
        <v>558485.57000000007</v>
      </c>
      <c r="E39" s="267"/>
      <c r="F39" s="267">
        <v>-132315.34</v>
      </c>
      <c r="G39" s="267"/>
      <c r="H39" s="267">
        <f t="shared" si="1"/>
        <v>-426170.2300000001</v>
      </c>
    </row>
    <row r="40" spans="1:8">
      <c r="A40" s="186" t="s">
        <v>637</v>
      </c>
      <c r="B40" s="267">
        <v>61869.339999999975</v>
      </c>
      <c r="C40" s="267">
        <v>0</v>
      </c>
      <c r="D40" s="267">
        <f t="shared" si="0"/>
        <v>61869.339999999975</v>
      </c>
      <c r="E40" s="267"/>
      <c r="F40" s="267">
        <v>-59057.43</v>
      </c>
      <c r="G40" s="267"/>
      <c r="H40" s="267">
        <f t="shared" si="1"/>
        <v>-2811.9099999999744</v>
      </c>
    </row>
    <row r="41" spans="1:8">
      <c r="A41" s="186" t="s">
        <v>144</v>
      </c>
      <c r="B41" s="267">
        <v>1679194.6799999997</v>
      </c>
      <c r="C41" s="267">
        <v>0</v>
      </c>
      <c r="D41" s="267">
        <f t="shared" si="0"/>
        <v>1679194.6799999997</v>
      </c>
      <c r="E41" s="267"/>
      <c r="F41" s="267">
        <v>-1673910.15</v>
      </c>
      <c r="G41" s="267"/>
      <c r="H41" s="267">
        <f t="shared" si="1"/>
        <v>-5284.5299999997951</v>
      </c>
    </row>
    <row r="42" spans="1:8">
      <c r="A42" s="219">
        <v>924000</v>
      </c>
      <c r="B42" s="267">
        <v>0</v>
      </c>
      <c r="C42" s="267">
        <v>0</v>
      </c>
      <c r="D42" s="267">
        <f t="shared" si="0"/>
        <v>0</v>
      </c>
      <c r="E42" s="267"/>
      <c r="F42" s="267">
        <v>0</v>
      </c>
      <c r="G42" s="267"/>
      <c r="H42" s="267">
        <f t="shared" si="1"/>
        <v>0</v>
      </c>
    </row>
    <row r="43" spans="1:8">
      <c r="A43" s="186" t="s">
        <v>605</v>
      </c>
      <c r="B43" s="267">
        <v>61.02</v>
      </c>
      <c r="C43" s="267">
        <v>0</v>
      </c>
      <c r="D43" s="267">
        <f t="shared" si="0"/>
        <v>61.02</v>
      </c>
      <c r="E43" s="267"/>
      <c r="F43" s="267">
        <v>-61.08</v>
      </c>
      <c r="G43" s="267"/>
      <c r="H43" s="267">
        <f t="shared" si="1"/>
        <v>5.9999999999995168E-2</v>
      </c>
    </row>
    <row r="44" spans="1:8">
      <c r="A44" s="186" t="s">
        <v>638</v>
      </c>
      <c r="B44" s="267">
        <v>639814.84999999986</v>
      </c>
      <c r="C44" s="267">
        <v>0</v>
      </c>
      <c r="D44" s="267">
        <f t="shared" si="0"/>
        <v>639814.84999999986</v>
      </c>
      <c r="E44" s="267"/>
      <c r="F44" s="267">
        <v>-67493.13</v>
      </c>
      <c r="G44" s="267"/>
      <c r="H44" s="267">
        <f t="shared" si="1"/>
        <v>-572321.71999999986</v>
      </c>
    </row>
    <row r="45" spans="1:8" s="269" customFormat="1">
      <c r="A45" s="269" t="s">
        <v>639</v>
      </c>
      <c r="B45" s="267">
        <v>975.6400000000001</v>
      </c>
      <c r="C45" s="267">
        <v>-463.19999999999987</v>
      </c>
      <c r="D45" s="267">
        <f t="shared" si="0"/>
        <v>512.44000000000028</v>
      </c>
      <c r="E45" s="267"/>
      <c r="F45" s="267">
        <v>-4072.14</v>
      </c>
      <c r="G45" s="267"/>
      <c r="H45" s="268">
        <f t="shared" si="1"/>
        <v>3559.7</v>
      </c>
    </row>
    <row r="46" spans="1:8" s="269" customFormat="1">
      <c r="A46" s="269" t="s">
        <v>640</v>
      </c>
      <c r="B46" s="267">
        <v>-661.14</v>
      </c>
      <c r="C46" s="267">
        <v>0</v>
      </c>
      <c r="D46" s="267">
        <f t="shared" si="0"/>
        <v>-661.14</v>
      </c>
      <c r="E46" s="267"/>
      <c r="F46" s="267">
        <v>1.9000000000000004</v>
      </c>
      <c r="G46" s="267"/>
      <c r="H46" s="268">
        <f t="shared" si="1"/>
        <v>659.24</v>
      </c>
    </row>
    <row r="47" spans="1:8" s="269" customFormat="1">
      <c r="A47" s="269" t="s">
        <v>641</v>
      </c>
      <c r="B47" s="267">
        <v>50795.960000000006</v>
      </c>
      <c r="C47" s="267">
        <v>0</v>
      </c>
      <c r="D47" s="267">
        <f t="shared" si="0"/>
        <v>50795.960000000006</v>
      </c>
      <c r="E47" s="267"/>
      <c r="F47" s="267">
        <v>-65571.049999999988</v>
      </c>
      <c r="G47" s="267"/>
      <c r="H47" s="267">
        <f t="shared" si="1"/>
        <v>14775.089999999982</v>
      </c>
    </row>
    <row r="48" spans="1:8" s="269" customFormat="1">
      <c r="A48" s="269" t="s">
        <v>642</v>
      </c>
      <c r="B48" s="267">
        <v>2426.38</v>
      </c>
      <c r="C48" s="267">
        <v>0</v>
      </c>
      <c r="D48" s="267">
        <f t="shared" si="0"/>
        <v>2426.38</v>
      </c>
      <c r="E48" s="267"/>
      <c r="F48" s="267">
        <v>-3419.62</v>
      </c>
      <c r="G48" s="267"/>
      <c r="H48" s="267">
        <f t="shared" si="1"/>
        <v>993.23999999999978</v>
      </c>
    </row>
    <row r="49" spans="1:8">
      <c r="A49" s="219">
        <v>935000</v>
      </c>
      <c r="B49" s="267">
        <v>0</v>
      </c>
      <c r="C49" s="267">
        <v>0</v>
      </c>
      <c r="D49" s="267">
        <f t="shared" si="0"/>
        <v>0</v>
      </c>
      <c r="E49" s="267"/>
      <c r="F49" s="267">
        <v>19.27</v>
      </c>
      <c r="G49" s="267"/>
      <c r="H49" s="267">
        <f t="shared" si="1"/>
        <v>-19.27</v>
      </c>
    </row>
    <row r="50" spans="1:8" ht="13.8" thickBot="1">
      <c r="A50" s="186" t="s">
        <v>188</v>
      </c>
      <c r="B50" s="270">
        <f>SUM(B17:B49)</f>
        <v>3235199.5699999994</v>
      </c>
      <c r="C50" s="270">
        <f>SUM(C17:C49)</f>
        <v>1223554.3300000003</v>
      </c>
      <c r="D50" s="270">
        <f>SUM(D17:D49)</f>
        <v>4458753.9000000004</v>
      </c>
      <c r="E50" s="270"/>
      <c r="F50" s="271">
        <f>SUM(F17:F49)</f>
        <v>-2689712.75</v>
      </c>
      <c r="G50" s="270"/>
      <c r="H50" s="270">
        <f>SUM(H17:H49)</f>
        <v>-1769041.15</v>
      </c>
    </row>
    <row r="51" spans="1:8" ht="6.6" customHeight="1" thickTop="1">
      <c r="D51" s="272"/>
      <c r="E51" s="272"/>
      <c r="F51" s="273"/>
      <c r="G51" s="272"/>
      <c r="H51" s="272"/>
    </row>
    <row r="52" spans="1:8">
      <c r="A52" s="274" t="s">
        <v>189</v>
      </c>
      <c r="D52" s="272"/>
      <c r="E52" s="272"/>
      <c r="F52" s="273"/>
      <c r="G52" s="272"/>
      <c r="H52" s="272"/>
    </row>
    <row r="53" spans="1:8">
      <c r="A53" s="275" t="s">
        <v>643</v>
      </c>
      <c r="B53" s="192">
        <f>+SUM(B17:B20)</f>
        <v>0</v>
      </c>
      <c r="C53" s="192">
        <f>+SUM(C17:C20)</f>
        <v>0</v>
      </c>
      <c r="D53" s="192">
        <f>+SUM(D17:D20)</f>
        <v>0</v>
      </c>
      <c r="E53" s="272"/>
      <c r="F53" s="192">
        <f>+SUM(F17:F20)</f>
        <v>0</v>
      </c>
      <c r="G53" s="272"/>
      <c r="H53" s="192">
        <f>+SUM(H17:H20)</f>
        <v>0</v>
      </c>
    </row>
    <row r="54" spans="1:8">
      <c r="A54" s="275" t="s">
        <v>196</v>
      </c>
      <c r="B54" s="276">
        <f t="shared" ref="B54:D55" si="2">+B21</f>
        <v>152257.13</v>
      </c>
      <c r="C54" s="276">
        <f t="shared" si="2"/>
        <v>0</v>
      </c>
      <c r="D54" s="276">
        <f t="shared" si="2"/>
        <v>152257.13</v>
      </c>
      <c r="E54" s="277"/>
      <c r="F54" s="276">
        <f>+F21</f>
        <v>-151818.63</v>
      </c>
      <c r="G54" s="277"/>
      <c r="H54" s="278">
        <f>+H21</f>
        <v>-438.5</v>
      </c>
    </row>
    <row r="55" spans="1:8">
      <c r="A55" s="275" t="s">
        <v>190</v>
      </c>
      <c r="B55" s="276">
        <f t="shared" si="2"/>
        <v>77514.249999999971</v>
      </c>
      <c r="C55" s="276">
        <f t="shared" si="2"/>
        <v>0</v>
      </c>
      <c r="D55" s="276">
        <f t="shared" si="2"/>
        <v>77514.249999999971</v>
      </c>
      <c r="E55" s="277"/>
      <c r="F55" s="276">
        <f>+F22</f>
        <v>-10531.470000000001</v>
      </c>
      <c r="G55" s="277"/>
      <c r="H55" s="276">
        <f>+H22</f>
        <v>-66982.77999999997</v>
      </c>
    </row>
    <row r="56" spans="1:8">
      <c r="A56" s="275" t="s">
        <v>191</v>
      </c>
      <c r="B56" s="192">
        <f>+SUM(B23:B28)</f>
        <v>125600.24999999999</v>
      </c>
      <c r="C56" s="207">
        <f>+SUM(C23:C28)</f>
        <v>589671.56000000029</v>
      </c>
      <c r="D56" s="192">
        <f>+SUM(D23:D28)</f>
        <v>715271.81000000041</v>
      </c>
      <c r="E56" s="272"/>
      <c r="F56" s="192">
        <f>+SUM(F23:F28)</f>
        <v>-132403.77000000002</v>
      </c>
      <c r="G56" s="272"/>
      <c r="H56" s="192">
        <f>+SUM(H23:H28)</f>
        <v>-582868.04000000039</v>
      </c>
    </row>
    <row r="57" spans="1:8">
      <c r="A57" s="275" t="s">
        <v>192</v>
      </c>
      <c r="B57" s="192">
        <f>+SUM(B29:B35)</f>
        <v>361909.89999999997</v>
      </c>
      <c r="C57" s="207">
        <f>+SUM(C29:C35)</f>
        <v>159273.02999999997</v>
      </c>
      <c r="D57" s="192">
        <f>+SUM(D29:D35)</f>
        <v>521182.92999999993</v>
      </c>
      <c r="E57" s="272"/>
      <c r="F57" s="192">
        <f>+SUM(F29:F35)</f>
        <v>-389080.10999999993</v>
      </c>
      <c r="G57" s="272"/>
      <c r="H57" s="207">
        <f>+SUM(H29:H35)</f>
        <v>-132102.81999999995</v>
      </c>
    </row>
    <row r="58" spans="1:8">
      <c r="A58" s="275" t="s">
        <v>193</v>
      </c>
      <c r="B58" s="192">
        <f>SUM(B36:B37)</f>
        <v>2.2500000000000018</v>
      </c>
      <c r="C58" s="207">
        <f>SUM(C36:C37)</f>
        <v>26.430000000000003</v>
      </c>
      <c r="D58" s="192">
        <f>SUM(D36:D37)</f>
        <v>28.680000000000007</v>
      </c>
      <c r="E58" s="272"/>
      <c r="F58" s="192">
        <f>SUM(F36:F37)</f>
        <v>0</v>
      </c>
      <c r="G58" s="272"/>
      <c r="H58" s="192">
        <f>SUM(H36:H37)</f>
        <v>-28.680000000000007</v>
      </c>
    </row>
    <row r="59" spans="1:8">
      <c r="A59" s="275" t="s">
        <v>194</v>
      </c>
      <c r="B59" s="192">
        <f>B38</f>
        <v>0</v>
      </c>
      <c r="C59" s="207">
        <f>C38</f>
        <v>0</v>
      </c>
      <c r="D59" s="192">
        <f>D38</f>
        <v>0</v>
      </c>
      <c r="E59" s="272"/>
      <c r="F59" s="192">
        <f>F38</f>
        <v>0</v>
      </c>
      <c r="G59" s="272"/>
      <c r="H59" s="192">
        <f>H38</f>
        <v>0</v>
      </c>
    </row>
    <row r="60" spans="1:8">
      <c r="A60" s="275" t="s">
        <v>195</v>
      </c>
      <c r="B60" s="194">
        <f>SUM(B39:B49)</f>
        <v>2517915.7899999991</v>
      </c>
      <c r="C60" s="194">
        <f>SUM(C39:C49)</f>
        <v>474583.31000000006</v>
      </c>
      <c r="D60" s="194">
        <f>SUM(D39:D49)</f>
        <v>2992499.0999999996</v>
      </c>
      <c r="E60" s="272"/>
      <c r="F60" s="194">
        <f>SUM(F39:F49)</f>
        <v>-2005878.77</v>
      </c>
      <c r="G60" s="272"/>
      <c r="H60" s="279">
        <f>SUM(H39:H49)</f>
        <v>-986620.32999999984</v>
      </c>
    </row>
    <row r="61" spans="1:8">
      <c r="A61" s="186" t="str">
        <f>A50</f>
        <v>Grand Total</v>
      </c>
      <c r="B61" s="192">
        <f>SUM(B53:B60)</f>
        <v>3235199.5699999989</v>
      </c>
      <c r="C61" s="192">
        <f>SUM(C53:C60)</f>
        <v>1223554.3300000005</v>
      </c>
      <c r="D61" s="192">
        <f>SUM(D53:D60)</f>
        <v>4458753.9000000004</v>
      </c>
      <c r="E61" s="272"/>
      <c r="F61" s="192">
        <f>SUM(F53:F60)</f>
        <v>-2689712.75</v>
      </c>
      <c r="G61" s="272"/>
      <c r="H61" s="192">
        <f>SUM(H53:H60)</f>
        <v>-1769041.1500000001</v>
      </c>
    </row>
    <row r="62" spans="1:8">
      <c r="F62" s="273"/>
    </row>
    <row r="63" spans="1:8">
      <c r="A63" s="186" t="s">
        <v>197</v>
      </c>
      <c r="B63" s="192"/>
      <c r="C63" s="192">
        <f>+SUM(C53:C59)</f>
        <v>748971.02000000037</v>
      </c>
      <c r="D63" s="192"/>
      <c r="E63" s="272"/>
      <c r="F63" s="280"/>
      <c r="G63" s="272"/>
      <c r="H63" s="192"/>
    </row>
    <row r="64" spans="1:8">
      <c r="C64" s="192"/>
      <c r="D64" s="272"/>
      <c r="E64" s="272"/>
      <c r="F64" s="273"/>
      <c r="G64" s="272"/>
      <c r="H64" s="272"/>
    </row>
  </sheetData>
  <mergeCells count="7">
    <mergeCell ref="B13:D13"/>
    <mergeCell ref="A3:H3"/>
    <mergeCell ref="A4:H4"/>
    <mergeCell ref="A5:H5"/>
    <mergeCell ref="A6:H6"/>
    <mergeCell ref="A9:H9"/>
    <mergeCell ref="A11:H11"/>
  </mergeCells>
  <pageMargins left="0.7" right="0.7" top="0.75" bottom="0.75" header="0.3" footer="0.3"/>
  <pageSetup scale="82" orientation="portrait" r:id="rId1"/>
  <headerFooter alignWithMargins="0">
    <oddFooter>&amp;R&amp;A</oddFooter>
  </headerFooter>
  <rowBreaks count="1" manualBreakCount="1">
    <brk id="9" max="16383" man="1"/>
  </rowBreaks>
  <ignoredErrors>
    <ignoredError sqref="B53:F6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15"/>
  <sheetViews>
    <sheetView zoomScale="90" zoomScaleNormal="90" workbookViewId="0">
      <pane xSplit="2" ySplit="4" topLeftCell="C5" activePane="bottomRight" state="frozen"/>
      <selection pane="topRight" activeCell="C1" sqref="C1"/>
      <selection pane="bottomLeft" activeCell="A3" sqref="A3"/>
      <selection pane="bottomRight" sqref="A1:D1"/>
    </sheetView>
  </sheetViews>
  <sheetFormatPr defaultColWidth="11.44140625" defaultRowHeight="12.75" customHeight="1"/>
  <cols>
    <col min="1" max="1" width="7" style="114" bestFit="1" customWidth="1"/>
    <col min="2" max="2" width="64" style="114" customWidth="1"/>
    <col min="3" max="3" width="31.5546875" style="115" customWidth="1"/>
    <col min="4" max="4" width="14.6640625" style="114" customWidth="1"/>
    <col min="5" max="5" width="11.44140625" style="114"/>
    <col min="6" max="6" width="31" style="114" customWidth="1"/>
    <col min="7" max="7" width="18.44140625" style="115" customWidth="1"/>
    <col min="8" max="8" width="15.5546875" style="114" customWidth="1"/>
    <col min="9" max="9" width="11.44140625" style="114"/>
    <col min="10" max="10" width="13.33203125" style="114" bestFit="1" customWidth="1"/>
    <col min="11" max="12" width="11.44140625" style="114"/>
    <col min="13" max="20" width="12" style="114" bestFit="1" customWidth="1"/>
    <col min="21" max="21" width="10.6640625" style="114" bestFit="1" customWidth="1"/>
    <col min="22" max="22" width="10.109375" style="114" bestFit="1" customWidth="1"/>
    <col min="23" max="23" width="9.88671875" style="114" bestFit="1" customWidth="1"/>
    <col min="24" max="29" width="10.6640625" style="114" bestFit="1" customWidth="1"/>
    <col min="30" max="16384" width="11.44140625" style="114"/>
  </cols>
  <sheetData>
    <row r="1" spans="1:29" ht="12.75" customHeight="1">
      <c r="A1" s="446" t="s">
        <v>661</v>
      </c>
      <c r="B1" s="446"/>
      <c r="C1" s="446"/>
      <c r="D1" s="446"/>
    </row>
    <row r="2" spans="1:29" ht="12.75" customHeight="1">
      <c r="A2" s="446" t="s">
        <v>672</v>
      </c>
      <c r="B2" s="446"/>
      <c r="C2" s="446"/>
      <c r="D2" s="446"/>
    </row>
    <row r="3" spans="1:29" ht="13.2">
      <c r="A3" s="446" t="s">
        <v>660</v>
      </c>
      <c r="B3" s="446"/>
      <c r="C3" s="446"/>
      <c r="D3" s="446"/>
    </row>
    <row r="4" spans="1:29" ht="39.6">
      <c r="A4" s="160" t="s">
        <v>582</v>
      </c>
      <c r="B4" s="159" t="s">
        <v>583</v>
      </c>
      <c r="C4" s="158" t="s">
        <v>581</v>
      </c>
      <c r="D4" s="157" t="s">
        <v>580</v>
      </c>
      <c r="F4" s="125"/>
      <c r="G4" s="156"/>
      <c r="H4" s="155"/>
      <c r="M4" s="128"/>
      <c r="N4" s="128"/>
      <c r="O4" s="446"/>
      <c r="P4" s="446"/>
      <c r="Q4" s="446"/>
      <c r="R4" s="446"/>
      <c r="S4" s="446"/>
      <c r="T4" s="446"/>
      <c r="U4" s="446"/>
      <c r="V4" s="446"/>
      <c r="W4" s="446"/>
      <c r="X4" s="446"/>
      <c r="Y4" s="446"/>
      <c r="Z4" s="446"/>
      <c r="AA4" s="446"/>
      <c r="AB4" s="446"/>
      <c r="AC4" s="446"/>
    </row>
    <row r="5" spans="1:29" ht="13.2">
      <c r="A5" s="119"/>
      <c r="D5" s="154"/>
      <c r="F5" s="120"/>
      <c r="G5" s="121"/>
      <c r="H5" s="153"/>
      <c r="M5" s="145"/>
      <c r="N5" s="145"/>
      <c r="O5" s="145"/>
      <c r="P5" s="145"/>
      <c r="Q5" s="145"/>
      <c r="R5" s="145"/>
      <c r="S5" s="145"/>
      <c r="T5" s="145"/>
      <c r="U5" s="145"/>
      <c r="V5" s="145"/>
      <c r="W5" s="145"/>
      <c r="X5" s="145"/>
      <c r="Y5" s="145"/>
      <c r="Z5" s="145"/>
      <c r="AA5" s="145"/>
      <c r="AB5" s="145"/>
      <c r="AC5" s="145"/>
    </row>
    <row r="6" spans="1:29" ht="12.75" customHeight="1">
      <c r="A6" s="119">
        <v>1</v>
      </c>
      <c r="B6" s="126" t="s">
        <v>579</v>
      </c>
      <c r="C6" s="126"/>
      <c r="F6" s="117"/>
      <c r="G6" s="125"/>
      <c r="H6" s="120"/>
    </row>
    <row r="7" spans="1:29" ht="12.75" customHeight="1">
      <c r="A7" s="119">
        <f t="shared" ref="A7:A12" si="0">A6+1</f>
        <v>2</v>
      </c>
      <c r="B7" s="131" t="s">
        <v>383</v>
      </c>
      <c r="C7" s="115" t="s">
        <v>578</v>
      </c>
      <c r="D7" s="118">
        <v>1029769941</v>
      </c>
      <c r="E7" s="118"/>
      <c r="F7" s="117"/>
      <c r="G7" s="121"/>
      <c r="H7" s="124"/>
      <c r="I7" s="118"/>
      <c r="J7" s="118"/>
      <c r="K7" s="118"/>
      <c r="L7" s="118"/>
      <c r="M7" s="147"/>
      <c r="N7" s="118"/>
      <c r="O7" s="118"/>
      <c r="P7" s="147"/>
      <c r="Q7" s="118"/>
      <c r="R7" s="118"/>
      <c r="S7" s="147"/>
      <c r="T7" s="118"/>
      <c r="U7" s="118"/>
      <c r="V7" s="147"/>
      <c r="W7" s="118"/>
      <c r="X7" s="118"/>
      <c r="Y7" s="147"/>
      <c r="Z7" s="118"/>
      <c r="AA7" s="118"/>
      <c r="AB7" s="147"/>
      <c r="AC7" s="118"/>
    </row>
    <row r="8" spans="1:29" ht="12.75" customHeight="1">
      <c r="A8" s="119">
        <f t="shared" si="0"/>
        <v>3</v>
      </c>
      <c r="B8" s="132" t="s">
        <v>558</v>
      </c>
      <c r="C8" s="152" t="s">
        <v>577</v>
      </c>
      <c r="D8" s="124">
        <v>604500</v>
      </c>
      <c r="E8" s="118"/>
      <c r="F8" s="117"/>
      <c r="G8" s="151"/>
      <c r="H8" s="124"/>
      <c r="I8" s="118"/>
      <c r="J8" s="118"/>
      <c r="K8" s="118"/>
      <c r="L8" s="118"/>
      <c r="M8" s="118"/>
      <c r="N8" s="118"/>
      <c r="O8" s="118"/>
      <c r="P8" s="118"/>
      <c r="Q8" s="118"/>
      <c r="R8" s="118"/>
      <c r="S8" s="118"/>
      <c r="T8" s="118"/>
      <c r="U8" s="118"/>
      <c r="V8" s="118"/>
      <c r="W8" s="118"/>
      <c r="X8" s="118"/>
      <c r="Y8" s="118"/>
      <c r="Z8" s="118"/>
      <c r="AA8" s="118"/>
      <c r="AB8" s="118"/>
      <c r="AC8" s="118"/>
    </row>
    <row r="9" spans="1:29" ht="12.75" customHeight="1">
      <c r="A9" s="119">
        <f t="shared" si="0"/>
        <v>4</v>
      </c>
      <c r="B9" s="131" t="s">
        <v>555</v>
      </c>
      <c r="C9" s="152" t="s">
        <v>576</v>
      </c>
      <c r="D9" s="124">
        <v>0</v>
      </c>
      <c r="E9" s="118"/>
      <c r="F9" s="117"/>
      <c r="G9" s="151"/>
      <c r="H9" s="124"/>
      <c r="I9" s="118"/>
      <c r="J9" s="118"/>
      <c r="K9" s="118"/>
      <c r="L9" s="118"/>
      <c r="M9" s="118"/>
      <c r="N9" s="118"/>
      <c r="O9" s="118"/>
      <c r="P9" s="118"/>
      <c r="Q9" s="118"/>
      <c r="R9" s="118"/>
      <c r="S9" s="118"/>
      <c r="T9" s="118"/>
      <c r="U9" s="118"/>
      <c r="V9" s="118"/>
      <c r="W9" s="118"/>
      <c r="X9" s="118"/>
      <c r="Y9" s="118"/>
      <c r="Z9" s="118"/>
      <c r="AA9" s="118"/>
      <c r="AB9" s="118"/>
      <c r="AC9" s="118"/>
    </row>
    <row r="10" spans="1:29" ht="12.75" customHeight="1">
      <c r="A10" s="119">
        <f t="shared" si="0"/>
        <v>5</v>
      </c>
      <c r="B10" s="131" t="s">
        <v>575</v>
      </c>
      <c r="C10" s="152" t="s">
        <v>574</v>
      </c>
      <c r="D10" s="124">
        <v>0</v>
      </c>
      <c r="E10" s="118"/>
      <c r="F10" s="117"/>
      <c r="G10" s="151"/>
      <c r="H10" s="124"/>
      <c r="I10" s="118"/>
      <c r="J10" s="118"/>
      <c r="K10" s="118"/>
      <c r="L10" s="118"/>
      <c r="M10" s="118"/>
      <c r="N10" s="118"/>
      <c r="O10" s="118"/>
      <c r="P10" s="118"/>
      <c r="Q10" s="118"/>
      <c r="R10" s="118"/>
      <c r="S10" s="118"/>
      <c r="T10" s="118"/>
      <c r="U10" s="118"/>
      <c r="V10" s="118"/>
      <c r="W10" s="118"/>
      <c r="X10" s="118"/>
      <c r="Y10" s="118"/>
      <c r="Z10" s="118"/>
      <c r="AA10" s="118"/>
      <c r="AB10" s="118"/>
      <c r="AC10" s="118"/>
    </row>
    <row r="11" spans="1:29" ht="12.75" customHeight="1">
      <c r="A11" s="119">
        <f t="shared" si="0"/>
        <v>6</v>
      </c>
      <c r="B11" s="131" t="s">
        <v>573</v>
      </c>
      <c r="C11" s="152" t="s">
        <v>572</v>
      </c>
      <c r="D11" s="130">
        <v>0</v>
      </c>
      <c r="E11" s="118"/>
      <c r="F11" s="117"/>
      <c r="G11" s="151"/>
      <c r="H11" s="124"/>
      <c r="I11" s="118"/>
      <c r="J11" s="118"/>
      <c r="K11" s="118"/>
      <c r="L11" s="118"/>
      <c r="M11" s="118"/>
      <c r="N11" s="118"/>
      <c r="O11" s="118"/>
      <c r="P11" s="118"/>
      <c r="Q11" s="118"/>
      <c r="R11" s="118"/>
      <c r="S11" s="118"/>
      <c r="T11" s="118"/>
      <c r="U11" s="118"/>
      <c r="V11" s="118"/>
      <c r="W11" s="118"/>
      <c r="X11" s="118"/>
      <c r="Y11" s="118"/>
      <c r="Z11" s="118"/>
      <c r="AA11" s="118"/>
      <c r="AB11" s="118"/>
      <c r="AC11" s="118"/>
    </row>
    <row r="12" spans="1:29" ht="12.75" customHeight="1">
      <c r="A12" s="119">
        <f t="shared" si="0"/>
        <v>7</v>
      </c>
      <c r="B12" s="129" t="s">
        <v>571</v>
      </c>
      <c r="C12" s="126" t="str">
        <f>"Ln"&amp;A7&amp;" - "&amp;"Ln"&amp;A8&amp;" - "&amp;"Ln"&amp;A9&amp;" - "&amp;"Ln"&amp;A10&amp;" - "&amp;"Ln"&amp;A11&amp;""</f>
        <v>Ln2 - Ln3 - Ln4 - Ln5 - Ln6</v>
      </c>
      <c r="D12" s="118">
        <f>D7-D8-D9-D10-D11</f>
        <v>1029165441</v>
      </c>
      <c r="E12" s="118"/>
      <c r="F12" s="117"/>
      <c r="G12" s="151"/>
      <c r="H12" s="124"/>
      <c r="I12" s="118"/>
      <c r="J12" s="118"/>
      <c r="K12" s="118"/>
      <c r="L12" s="118"/>
      <c r="M12" s="118"/>
      <c r="N12" s="118"/>
      <c r="O12" s="118"/>
      <c r="P12" s="118"/>
      <c r="Q12" s="118"/>
      <c r="R12" s="118"/>
      <c r="S12" s="118"/>
      <c r="T12" s="118"/>
      <c r="U12" s="118"/>
      <c r="V12" s="118"/>
      <c r="W12" s="118"/>
      <c r="X12" s="118"/>
      <c r="Y12" s="118"/>
      <c r="Z12" s="118"/>
      <c r="AA12" s="118"/>
      <c r="AB12" s="118"/>
      <c r="AC12" s="118"/>
    </row>
    <row r="13" spans="1:29" ht="3" customHeight="1">
      <c r="D13" s="118"/>
      <c r="E13" s="118"/>
      <c r="F13" s="117"/>
      <c r="G13" s="125"/>
      <c r="H13" s="124"/>
      <c r="I13" s="118"/>
      <c r="J13" s="118"/>
      <c r="K13" s="118"/>
      <c r="L13" s="118"/>
      <c r="M13" s="118"/>
      <c r="N13" s="118"/>
      <c r="O13" s="118"/>
      <c r="P13" s="118"/>
      <c r="Q13" s="118"/>
      <c r="R13" s="118"/>
      <c r="S13" s="118"/>
      <c r="T13" s="118"/>
      <c r="U13" s="118"/>
      <c r="V13" s="118"/>
      <c r="W13" s="118"/>
      <c r="X13" s="118"/>
      <c r="Y13" s="118"/>
      <c r="Z13" s="118"/>
      <c r="AA13" s="118"/>
      <c r="AB13" s="118"/>
      <c r="AC13" s="118"/>
    </row>
    <row r="14" spans="1:29" ht="12.75" customHeight="1">
      <c r="A14" s="119">
        <f>A12+1</f>
        <v>8</v>
      </c>
      <c r="B14" s="131" t="s">
        <v>41</v>
      </c>
      <c r="C14" s="115" t="s">
        <v>570</v>
      </c>
      <c r="D14" s="118">
        <v>926236016</v>
      </c>
      <c r="E14" s="118"/>
      <c r="F14" s="117"/>
      <c r="G14" s="121"/>
      <c r="H14" s="124"/>
      <c r="I14" s="118"/>
      <c r="J14" s="118"/>
      <c r="K14" s="118"/>
      <c r="L14" s="118"/>
      <c r="M14" s="118"/>
      <c r="N14" s="118"/>
      <c r="O14" s="118"/>
      <c r="P14" s="118"/>
      <c r="Q14" s="118"/>
      <c r="R14" s="118"/>
      <c r="S14" s="118"/>
      <c r="T14" s="118"/>
      <c r="U14" s="118"/>
      <c r="V14" s="118"/>
      <c r="W14" s="118"/>
      <c r="X14" s="118"/>
      <c r="Y14" s="118"/>
      <c r="Z14" s="118"/>
      <c r="AA14" s="118"/>
      <c r="AB14" s="118"/>
      <c r="AC14" s="118"/>
    </row>
    <row r="15" spans="1:29" ht="12.75" customHeight="1">
      <c r="A15" s="119">
        <f>A14+1</f>
        <v>9</v>
      </c>
      <c r="B15" s="131" t="s">
        <v>533</v>
      </c>
      <c r="C15" s="115" t="s">
        <v>569</v>
      </c>
      <c r="D15" s="130">
        <v>0</v>
      </c>
      <c r="E15" s="118"/>
      <c r="F15" s="117"/>
      <c r="G15" s="121"/>
      <c r="H15" s="124"/>
      <c r="I15" s="118"/>
      <c r="J15" s="118"/>
      <c r="K15" s="118"/>
      <c r="L15" s="118"/>
      <c r="M15" s="118"/>
      <c r="N15" s="118"/>
      <c r="O15" s="118"/>
      <c r="P15" s="118"/>
      <c r="Q15" s="118"/>
      <c r="R15" s="118"/>
      <c r="S15" s="118"/>
      <c r="T15" s="118"/>
      <c r="U15" s="118"/>
      <c r="V15" s="118"/>
      <c r="W15" s="118"/>
      <c r="X15" s="118"/>
      <c r="Y15" s="118"/>
      <c r="Z15" s="118"/>
      <c r="AA15" s="118"/>
      <c r="AB15" s="118"/>
      <c r="AC15" s="118"/>
    </row>
    <row r="16" spans="1:29" ht="12.75" customHeight="1">
      <c r="A16" s="119">
        <f>A15+1</f>
        <v>10</v>
      </c>
      <c r="B16" s="129" t="s">
        <v>568</v>
      </c>
      <c r="C16" s="115" t="str">
        <f>"Ln"&amp;A14&amp;" - "&amp;"Ln"&amp;A15&amp;""</f>
        <v>Ln8 - Ln9</v>
      </c>
      <c r="D16" s="118">
        <f>D14-D15</f>
        <v>926236016</v>
      </c>
      <c r="E16" s="118"/>
      <c r="F16" s="117"/>
      <c r="G16" s="121"/>
      <c r="H16" s="124"/>
      <c r="I16" s="118"/>
      <c r="J16" s="118"/>
      <c r="K16" s="118"/>
      <c r="L16" s="118"/>
      <c r="M16" s="118"/>
      <c r="N16" s="118"/>
      <c r="O16" s="118"/>
      <c r="P16" s="118"/>
      <c r="Q16" s="118"/>
      <c r="R16" s="118"/>
      <c r="S16" s="118"/>
      <c r="T16" s="118"/>
      <c r="U16" s="118"/>
      <c r="V16" s="118"/>
      <c r="W16" s="118"/>
      <c r="X16" s="118"/>
      <c r="Y16" s="118"/>
      <c r="Z16" s="118"/>
      <c r="AA16" s="118"/>
      <c r="AB16" s="118"/>
      <c r="AC16" s="118"/>
    </row>
    <row r="17" spans="1:29" ht="3" customHeight="1">
      <c r="B17" s="137"/>
      <c r="D17" s="118"/>
      <c r="E17" s="118"/>
      <c r="F17" s="117"/>
      <c r="G17" s="121"/>
      <c r="H17" s="124"/>
      <c r="I17" s="118"/>
      <c r="J17" s="118"/>
      <c r="K17" s="118"/>
      <c r="L17" s="118"/>
      <c r="M17" s="118"/>
      <c r="N17" s="118"/>
      <c r="O17" s="118"/>
      <c r="P17" s="118"/>
      <c r="Q17" s="118"/>
      <c r="R17" s="118"/>
      <c r="S17" s="118"/>
      <c r="T17" s="118"/>
      <c r="U17" s="118"/>
      <c r="V17" s="118"/>
      <c r="W17" s="118"/>
      <c r="X17" s="118"/>
      <c r="Y17" s="118"/>
      <c r="Z17" s="118"/>
      <c r="AA17" s="118"/>
      <c r="AB17" s="118"/>
      <c r="AC17" s="118"/>
    </row>
    <row r="18" spans="1:29" ht="12.75" customHeight="1">
      <c r="A18" s="119">
        <f>A16+1</f>
        <v>11</v>
      </c>
      <c r="B18" s="131" t="s">
        <v>42</v>
      </c>
      <c r="C18" s="115" t="s">
        <v>567</v>
      </c>
      <c r="D18" s="118">
        <v>1547013502</v>
      </c>
      <c r="E18" s="118"/>
      <c r="F18" s="117"/>
      <c r="G18" s="121"/>
      <c r="H18" s="124"/>
      <c r="I18" s="118"/>
      <c r="J18" s="118"/>
      <c r="K18" s="118"/>
      <c r="L18" s="118"/>
      <c r="M18" s="147"/>
      <c r="N18" s="118"/>
      <c r="O18" s="118"/>
      <c r="P18" s="147"/>
      <c r="Q18" s="118"/>
      <c r="R18" s="118"/>
      <c r="S18" s="147"/>
      <c r="T18" s="118"/>
      <c r="U18" s="118"/>
      <c r="V18" s="147"/>
      <c r="W18" s="118"/>
      <c r="X18" s="118"/>
      <c r="Y18" s="147"/>
      <c r="Z18" s="118"/>
      <c r="AA18" s="118"/>
      <c r="AB18" s="147"/>
      <c r="AC18" s="118"/>
    </row>
    <row r="19" spans="1:29" ht="12.75" customHeight="1">
      <c r="A19" s="119">
        <f>A18+1</f>
        <v>12</v>
      </c>
      <c r="B19" s="131" t="s">
        <v>533</v>
      </c>
      <c r="C19" s="115" t="s">
        <v>566</v>
      </c>
      <c r="D19" s="130">
        <v>0</v>
      </c>
      <c r="E19" s="118"/>
      <c r="F19" s="117"/>
      <c r="G19" s="121"/>
      <c r="H19" s="124"/>
      <c r="I19" s="118"/>
      <c r="J19" s="118"/>
      <c r="K19" s="118"/>
      <c r="L19" s="118"/>
      <c r="M19" s="147"/>
      <c r="N19" s="118"/>
      <c r="O19" s="118"/>
      <c r="P19" s="147"/>
      <c r="Q19" s="118"/>
      <c r="R19" s="118"/>
      <c r="S19" s="147"/>
      <c r="T19" s="118"/>
      <c r="U19" s="118"/>
      <c r="V19" s="147"/>
      <c r="W19" s="118"/>
      <c r="X19" s="118"/>
      <c r="Y19" s="147"/>
      <c r="Z19" s="118"/>
      <c r="AA19" s="118"/>
      <c r="AB19" s="147"/>
      <c r="AC19" s="118"/>
    </row>
    <row r="20" spans="1:29" ht="12.75" customHeight="1">
      <c r="A20" s="119">
        <f>A19+1</f>
        <v>13</v>
      </c>
      <c r="B20" s="127" t="s">
        <v>565</v>
      </c>
      <c r="C20" s="115" t="str">
        <f>"Ln"&amp;A18&amp;" - "&amp;"Ln"&amp;A19&amp;""</f>
        <v>Ln11 - Ln12</v>
      </c>
      <c r="D20" s="118">
        <f>D18-D19</f>
        <v>1547013502</v>
      </c>
      <c r="E20" s="118"/>
      <c r="F20" s="117"/>
      <c r="G20" s="121"/>
      <c r="H20" s="124"/>
      <c r="I20" s="118"/>
      <c r="J20" s="118"/>
      <c r="K20" s="118"/>
      <c r="L20" s="118"/>
      <c r="M20" s="147"/>
      <c r="N20" s="118"/>
      <c r="O20" s="118"/>
      <c r="P20" s="147"/>
      <c r="Q20" s="118"/>
      <c r="R20" s="118"/>
      <c r="S20" s="147"/>
      <c r="T20" s="118"/>
      <c r="U20" s="118"/>
      <c r="V20" s="147"/>
      <c r="W20" s="118"/>
      <c r="X20" s="118"/>
      <c r="Y20" s="147"/>
      <c r="Z20" s="118"/>
      <c r="AA20" s="118"/>
      <c r="AB20" s="147"/>
      <c r="AC20" s="118"/>
    </row>
    <row r="21" spans="1:29" ht="3" customHeight="1">
      <c r="B21" s="127"/>
      <c r="D21" s="118"/>
      <c r="E21" s="118"/>
      <c r="F21" s="117"/>
      <c r="G21" s="121"/>
      <c r="H21" s="124"/>
      <c r="I21" s="118"/>
      <c r="J21" s="118"/>
      <c r="K21" s="118"/>
      <c r="L21" s="118"/>
      <c r="M21" s="147"/>
      <c r="N21" s="118"/>
      <c r="O21" s="118"/>
      <c r="P21" s="147"/>
      <c r="Q21" s="118"/>
      <c r="R21" s="118"/>
      <c r="S21" s="147"/>
      <c r="T21" s="118"/>
      <c r="U21" s="118"/>
      <c r="V21" s="147"/>
      <c r="W21" s="118"/>
      <c r="X21" s="118"/>
      <c r="Y21" s="147"/>
      <c r="Z21" s="118"/>
      <c r="AA21" s="118"/>
      <c r="AB21" s="147"/>
      <c r="AC21" s="118"/>
    </row>
    <row r="22" spans="1:29" ht="12.75" customHeight="1">
      <c r="A22" s="119">
        <f>A20+1</f>
        <v>14</v>
      </c>
      <c r="B22" s="131" t="s">
        <v>461</v>
      </c>
      <c r="C22" s="126" t="s">
        <v>564</v>
      </c>
      <c r="D22" s="124">
        <v>157334508</v>
      </c>
      <c r="E22" s="118"/>
      <c r="F22" s="117"/>
      <c r="G22" s="121"/>
      <c r="H22" s="124"/>
      <c r="I22" s="118"/>
      <c r="J22" s="118"/>
      <c r="K22" s="118"/>
      <c r="L22" s="118"/>
      <c r="M22" s="118"/>
      <c r="N22" s="118"/>
      <c r="O22" s="118"/>
      <c r="P22" s="118"/>
      <c r="Q22" s="118"/>
      <c r="R22" s="118"/>
      <c r="S22" s="118"/>
      <c r="T22" s="118"/>
      <c r="U22" s="118"/>
      <c r="V22" s="118"/>
      <c r="W22" s="118"/>
      <c r="X22" s="118"/>
      <c r="Y22" s="118"/>
      <c r="Z22" s="118"/>
      <c r="AA22" s="118"/>
      <c r="AB22" s="118"/>
      <c r="AC22" s="118"/>
    </row>
    <row r="23" spans="1:29" ht="12.75" customHeight="1">
      <c r="A23" s="119">
        <f>A22+1</f>
        <v>15</v>
      </c>
      <c r="B23" s="132" t="s">
        <v>44</v>
      </c>
      <c r="C23" s="115" t="s">
        <v>563</v>
      </c>
      <c r="D23" s="124">
        <v>159943776</v>
      </c>
      <c r="E23" s="118"/>
      <c r="F23" s="117"/>
      <c r="G23" s="125"/>
      <c r="H23" s="124"/>
      <c r="I23" s="118"/>
      <c r="J23" s="118"/>
      <c r="K23" s="118"/>
      <c r="L23" s="118"/>
      <c r="M23" s="118"/>
      <c r="N23" s="118"/>
      <c r="O23" s="118"/>
      <c r="P23" s="118"/>
      <c r="Q23" s="118"/>
      <c r="R23" s="118"/>
      <c r="S23" s="118"/>
      <c r="T23" s="118"/>
      <c r="U23" s="118"/>
      <c r="V23" s="118"/>
      <c r="W23" s="118"/>
      <c r="X23" s="118"/>
      <c r="Y23" s="118"/>
      <c r="Z23" s="118"/>
      <c r="AA23" s="118"/>
      <c r="AB23" s="118"/>
      <c r="AC23" s="118"/>
    </row>
    <row r="24" spans="1:29" ht="12.75" customHeight="1">
      <c r="A24" s="119">
        <f>A23+1</f>
        <v>16</v>
      </c>
      <c r="B24" s="131" t="s">
        <v>562</v>
      </c>
      <c r="C24" s="115" t="s">
        <v>561</v>
      </c>
      <c r="D24" s="130">
        <v>0</v>
      </c>
      <c r="E24" s="118"/>
      <c r="F24" s="117"/>
      <c r="G24" s="121"/>
      <c r="H24" s="124"/>
      <c r="I24" s="118"/>
      <c r="J24" s="118"/>
      <c r="K24" s="118"/>
      <c r="L24" s="118"/>
      <c r="M24" s="118"/>
      <c r="N24" s="118"/>
      <c r="O24" s="118"/>
      <c r="P24" s="118"/>
      <c r="Q24" s="118"/>
      <c r="R24" s="118"/>
      <c r="S24" s="118"/>
      <c r="T24" s="118"/>
      <c r="U24" s="118"/>
      <c r="V24" s="118"/>
      <c r="W24" s="118"/>
      <c r="X24" s="118"/>
      <c r="Y24" s="118"/>
      <c r="Z24" s="118"/>
      <c r="AA24" s="118"/>
      <c r="AB24" s="118"/>
      <c r="AC24" s="118"/>
    </row>
    <row r="25" spans="1:29" ht="12.75" customHeight="1">
      <c r="A25" s="119">
        <f>A24+1</f>
        <v>17</v>
      </c>
      <c r="B25" s="129" t="s">
        <v>459</v>
      </c>
      <c r="C25" s="126" t="str">
        <f>"Ln"&amp;A22&amp;" + "&amp;"Ln"&amp;A23&amp;" - "&amp;"Ln"&amp;A24&amp;""</f>
        <v>Ln14 + Ln15 - Ln16</v>
      </c>
      <c r="D25" s="124">
        <f>D22+D23-D24</f>
        <v>317278284</v>
      </c>
      <c r="E25" s="118"/>
      <c r="F25" s="117"/>
      <c r="G25" s="121"/>
      <c r="H25" s="124"/>
      <c r="I25" s="118"/>
      <c r="J25" s="118"/>
      <c r="K25" s="118"/>
      <c r="L25" s="118"/>
      <c r="M25" s="118"/>
      <c r="N25" s="118"/>
      <c r="O25" s="118"/>
      <c r="P25" s="118"/>
      <c r="Q25" s="118"/>
      <c r="R25" s="118"/>
      <c r="S25" s="118"/>
      <c r="T25" s="118"/>
      <c r="U25" s="118"/>
      <c r="V25" s="118"/>
      <c r="W25" s="118"/>
      <c r="X25" s="118"/>
      <c r="Y25" s="118"/>
      <c r="Z25" s="118"/>
      <c r="AA25" s="118"/>
      <c r="AB25" s="118"/>
      <c r="AC25" s="118"/>
    </row>
    <row r="26" spans="1:29" ht="3" customHeight="1">
      <c r="B26" s="129"/>
      <c r="D26" s="124"/>
      <c r="E26" s="118"/>
      <c r="F26" s="117"/>
      <c r="G26" s="121"/>
      <c r="H26" s="124"/>
      <c r="I26" s="118"/>
      <c r="J26" s="118"/>
      <c r="K26" s="118"/>
      <c r="L26" s="118"/>
      <c r="M26" s="118"/>
      <c r="N26" s="118"/>
      <c r="O26" s="118"/>
      <c r="P26" s="118"/>
      <c r="Q26" s="118"/>
      <c r="R26" s="118"/>
      <c r="S26" s="118"/>
      <c r="T26" s="118"/>
      <c r="U26" s="118"/>
      <c r="V26" s="118"/>
      <c r="W26" s="118"/>
      <c r="X26" s="118"/>
      <c r="Y26" s="118"/>
      <c r="Z26" s="118"/>
      <c r="AA26" s="118"/>
      <c r="AB26" s="118"/>
      <c r="AC26" s="118"/>
    </row>
    <row r="27" spans="1:29" ht="12.75" customHeight="1">
      <c r="A27" s="119">
        <f>A25+1</f>
        <v>18</v>
      </c>
      <c r="B27" s="127" t="s">
        <v>458</v>
      </c>
      <c r="C27" s="115" t="s">
        <v>530</v>
      </c>
      <c r="D27" s="130">
        <v>0</v>
      </c>
      <c r="E27" s="118"/>
      <c r="F27" s="117"/>
      <c r="G27" s="121"/>
      <c r="H27" s="124"/>
      <c r="I27" s="118"/>
      <c r="J27" s="118"/>
      <c r="K27" s="118"/>
      <c r="L27" s="118"/>
      <c r="M27" s="118"/>
      <c r="N27" s="118"/>
      <c r="O27" s="118"/>
      <c r="P27" s="118"/>
      <c r="Q27" s="118"/>
      <c r="R27" s="118"/>
      <c r="S27" s="118"/>
      <c r="T27" s="118"/>
      <c r="U27" s="118"/>
      <c r="V27" s="118"/>
      <c r="W27" s="118"/>
      <c r="X27" s="118"/>
      <c r="Y27" s="118"/>
      <c r="Z27" s="118"/>
      <c r="AA27" s="118"/>
      <c r="AB27" s="118"/>
      <c r="AC27" s="118"/>
    </row>
    <row r="28" spans="1:29" ht="12.75" customHeight="1">
      <c r="A28" s="119">
        <f>A27+1</f>
        <v>19</v>
      </c>
      <c r="B28" s="132" t="s">
        <v>560</v>
      </c>
      <c r="C28" s="146" t="str">
        <f>"Ln"&amp;A12&amp;"+"&amp;"Ln"&amp;A16&amp;"+"&amp;"Ln"&amp;A20&amp;"+"&amp;"Ln"&amp;A25&amp;"+"&amp;"Ln"&amp;A27&amp;""</f>
        <v>Ln7+Ln10+Ln13+Ln17+Ln18</v>
      </c>
      <c r="D28" s="124">
        <f>D12+D16+D20+D25+D27</f>
        <v>3819693243</v>
      </c>
      <c r="E28" s="118"/>
      <c r="F28" s="117"/>
      <c r="G28" s="121"/>
      <c r="H28" s="124"/>
      <c r="I28" s="118"/>
      <c r="J28" s="118"/>
      <c r="K28" s="118"/>
      <c r="L28" s="118"/>
      <c r="M28" s="118"/>
      <c r="N28" s="118"/>
      <c r="O28" s="118"/>
      <c r="P28" s="118"/>
      <c r="Q28" s="118"/>
      <c r="R28" s="118"/>
      <c r="S28" s="118"/>
      <c r="T28" s="118"/>
      <c r="U28" s="118"/>
      <c r="V28" s="118"/>
      <c r="W28" s="118"/>
      <c r="X28" s="118"/>
      <c r="Y28" s="118"/>
      <c r="Z28" s="118"/>
      <c r="AA28" s="118"/>
      <c r="AB28" s="118"/>
      <c r="AC28" s="118"/>
    </row>
    <row r="29" spans="1:29" ht="12.75" customHeight="1">
      <c r="D29" s="124"/>
      <c r="E29" s="118"/>
      <c r="F29" s="117"/>
      <c r="G29" s="121"/>
      <c r="H29" s="124"/>
      <c r="I29" s="118"/>
      <c r="J29" s="118"/>
      <c r="K29" s="118"/>
      <c r="L29" s="118"/>
      <c r="M29" s="118"/>
      <c r="N29" s="118"/>
      <c r="O29" s="118"/>
      <c r="P29" s="118"/>
      <c r="Q29" s="118"/>
      <c r="R29" s="118"/>
      <c r="S29" s="118"/>
      <c r="T29" s="118"/>
      <c r="U29" s="118"/>
      <c r="V29" s="118"/>
      <c r="W29" s="118"/>
      <c r="X29" s="118"/>
      <c r="Y29" s="118"/>
      <c r="Z29" s="118"/>
      <c r="AA29" s="118"/>
      <c r="AB29" s="118"/>
      <c r="AC29" s="118"/>
    </row>
    <row r="30" spans="1:29" ht="12.75" customHeight="1">
      <c r="A30" s="119">
        <f>A28+1</f>
        <v>20</v>
      </c>
      <c r="B30" s="126" t="s">
        <v>93</v>
      </c>
      <c r="C30" s="126"/>
      <c r="D30" s="124"/>
      <c r="E30" s="118"/>
      <c r="F30" s="117"/>
      <c r="G30" s="125"/>
      <c r="H30" s="124"/>
      <c r="I30" s="118"/>
      <c r="J30" s="118"/>
      <c r="K30" s="118"/>
      <c r="L30" s="118"/>
      <c r="M30" s="147"/>
      <c r="O30" s="118"/>
      <c r="P30" s="147"/>
      <c r="Q30" s="118"/>
      <c r="R30" s="118"/>
      <c r="S30" s="147"/>
      <c r="T30" s="118"/>
      <c r="U30" s="118"/>
      <c r="V30" s="147"/>
      <c r="W30" s="118"/>
      <c r="X30" s="118"/>
      <c r="Y30" s="147"/>
      <c r="Z30" s="118"/>
      <c r="AA30" s="118"/>
      <c r="AB30" s="147"/>
      <c r="AC30" s="118"/>
    </row>
    <row r="31" spans="1:29" ht="12.75" customHeight="1">
      <c r="A31" s="119">
        <f t="shared" ref="A31:A41" si="1">A30+1</f>
        <v>21</v>
      </c>
      <c r="B31" s="132" t="s">
        <v>38</v>
      </c>
      <c r="C31" s="126" t="s">
        <v>559</v>
      </c>
      <c r="D31" s="118">
        <v>452151766</v>
      </c>
      <c r="E31" s="118"/>
      <c r="F31" s="117"/>
      <c r="G31" s="125"/>
      <c r="H31" s="124"/>
      <c r="I31" s="118"/>
      <c r="J31" s="118"/>
      <c r="K31" s="118"/>
      <c r="L31" s="118"/>
      <c r="M31" s="118"/>
      <c r="N31" s="118"/>
      <c r="O31" s="118"/>
      <c r="P31" s="118"/>
      <c r="Q31" s="118"/>
      <c r="R31" s="118"/>
      <c r="S31" s="118"/>
      <c r="T31" s="118"/>
      <c r="U31" s="118"/>
      <c r="V31" s="118"/>
      <c r="W31" s="118"/>
      <c r="X31" s="118"/>
      <c r="Y31" s="118"/>
      <c r="Z31" s="118"/>
      <c r="AA31" s="118"/>
      <c r="AB31" s="118"/>
      <c r="AC31" s="118"/>
    </row>
    <row r="32" spans="1:29" ht="12.75" customHeight="1">
      <c r="A32" s="119">
        <f t="shared" si="1"/>
        <v>22</v>
      </c>
      <c r="B32" s="131" t="s">
        <v>558</v>
      </c>
      <c r="C32" s="149" t="s">
        <v>557</v>
      </c>
      <c r="D32" s="124">
        <v>147004</v>
      </c>
      <c r="E32" s="118"/>
      <c r="F32" s="117"/>
      <c r="G32" s="121"/>
      <c r="H32" s="124"/>
      <c r="I32" s="124"/>
      <c r="J32" s="124"/>
      <c r="K32" s="124"/>
      <c r="L32" s="124"/>
      <c r="M32" s="124"/>
      <c r="N32" s="124"/>
      <c r="O32" s="124"/>
      <c r="P32" s="124"/>
      <c r="Q32" s="124"/>
      <c r="R32" s="118"/>
      <c r="S32" s="118"/>
      <c r="T32" s="118"/>
      <c r="U32" s="118"/>
      <c r="V32" s="118"/>
      <c r="W32" s="118"/>
      <c r="X32" s="118"/>
      <c r="Y32" s="118"/>
      <c r="Z32" s="118"/>
      <c r="AA32" s="118"/>
      <c r="AB32" s="118"/>
      <c r="AC32" s="118"/>
    </row>
    <row r="33" spans="1:29" ht="12.75" customHeight="1">
      <c r="A33" s="119">
        <f t="shared" si="1"/>
        <v>23</v>
      </c>
      <c r="B33" s="131" t="s">
        <v>39</v>
      </c>
      <c r="C33" s="115" t="s">
        <v>556</v>
      </c>
      <c r="D33" s="118">
        <v>0</v>
      </c>
      <c r="E33" s="118"/>
      <c r="F33" s="117"/>
      <c r="G33" s="121"/>
      <c r="H33" s="124"/>
      <c r="I33" s="124"/>
      <c r="J33" s="124"/>
      <c r="K33" s="124"/>
      <c r="L33" s="124"/>
      <c r="M33" s="124"/>
      <c r="N33" s="124"/>
      <c r="O33" s="124"/>
      <c r="P33" s="124"/>
      <c r="Q33" s="124"/>
      <c r="R33" s="118"/>
      <c r="S33" s="118"/>
      <c r="T33" s="118"/>
      <c r="U33" s="118"/>
      <c r="V33" s="118"/>
      <c r="W33" s="118"/>
      <c r="X33" s="118"/>
      <c r="Y33" s="118"/>
      <c r="Z33" s="118"/>
      <c r="AA33" s="118"/>
      <c r="AB33" s="118"/>
      <c r="AC33" s="118"/>
    </row>
    <row r="34" spans="1:29" ht="12.75" customHeight="1">
      <c r="A34" s="119">
        <f t="shared" si="1"/>
        <v>24</v>
      </c>
      <c r="B34" s="131" t="s">
        <v>555</v>
      </c>
      <c r="C34" s="149" t="s">
        <v>554</v>
      </c>
      <c r="D34" s="118">
        <v>0</v>
      </c>
      <c r="E34" s="118"/>
      <c r="F34" s="117"/>
      <c r="G34" s="121"/>
      <c r="H34" s="124"/>
      <c r="I34" s="124"/>
      <c r="J34" s="124"/>
      <c r="K34" s="124"/>
      <c r="L34" s="124"/>
      <c r="M34" s="124"/>
      <c r="N34" s="124"/>
      <c r="O34" s="124"/>
      <c r="P34" s="124"/>
      <c r="Q34" s="124"/>
      <c r="R34" s="118"/>
      <c r="S34" s="118"/>
      <c r="T34" s="118"/>
      <c r="U34" s="118"/>
      <c r="V34" s="118"/>
      <c r="W34" s="118"/>
      <c r="X34" s="118"/>
      <c r="Y34" s="118"/>
      <c r="Z34" s="118"/>
      <c r="AA34" s="118"/>
      <c r="AB34" s="118"/>
      <c r="AC34" s="118"/>
    </row>
    <row r="35" spans="1:29" ht="12.75" customHeight="1">
      <c r="A35" s="119">
        <f t="shared" si="1"/>
        <v>25</v>
      </c>
      <c r="B35" s="131" t="s">
        <v>553</v>
      </c>
      <c r="C35" s="115" t="s">
        <v>552</v>
      </c>
      <c r="D35" s="118">
        <v>0</v>
      </c>
      <c r="E35" s="118"/>
      <c r="F35" s="117"/>
      <c r="G35" s="121"/>
      <c r="H35" s="124"/>
      <c r="I35" s="124"/>
      <c r="J35" s="124"/>
      <c r="K35" s="124"/>
      <c r="L35" s="124"/>
      <c r="M35" s="124"/>
      <c r="N35" s="124"/>
      <c r="O35" s="124"/>
      <c r="P35" s="124"/>
      <c r="Q35" s="124"/>
      <c r="R35" s="118"/>
      <c r="S35" s="118"/>
      <c r="T35" s="118"/>
      <c r="U35" s="118"/>
      <c r="V35" s="118"/>
      <c r="W35" s="118"/>
      <c r="X35" s="118"/>
      <c r="Y35" s="118"/>
      <c r="Z35" s="118"/>
      <c r="AA35" s="118"/>
      <c r="AB35" s="118"/>
      <c r="AC35" s="118"/>
    </row>
    <row r="36" spans="1:29" ht="12.75" customHeight="1">
      <c r="A36" s="119">
        <f t="shared" si="1"/>
        <v>26</v>
      </c>
      <c r="B36" s="131" t="s">
        <v>551</v>
      </c>
      <c r="C36" s="149" t="s">
        <v>550</v>
      </c>
      <c r="D36" s="118">
        <v>0</v>
      </c>
      <c r="E36" s="118"/>
      <c r="F36" s="117"/>
      <c r="G36" s="125"/>
      <c r="H36" s="124"/>
      <c r="I36" s="124"/>
      <c r="J36" s="124"/>
      <c r="K36" s="124"/>
      <c r="L36" s="124"/>
      <c r="M36" s="124"/>
      <c r="N36" s="124"/>
      <c r="O36" s="124"/>
      <c r="P36" s="124"/>
      <c r="Q36" s="124"/>
      <c r="R36" s="118"/>
      <c r="S36" s="118"/>
      <c r="T36" s="118"/>
      <c r="U36" s="118"/>
      <c r="V36" s="118"/>
      <c r="W36" s="118"/>
      <c r="X36" s="118"/>
      <c r="Y36" s="118"/>
      <c r="Z36" s="118"/>
      <c r="AA36" s="118"/>
      <c r="AB36" s="118"/>
      <c r="AC36" s="118"/>
    </row>
    <row r="37" spans="1:29" ht="12.75" customHeight="1">
      <c r="A37" s="119">
        <f t="shared" si="1"/>
        <v>27</v>
      </c>
      <c r="B37" s="132" t="s">
        <v>549</v>
      </c>
      <c r="C37" s="115" t="s">
        <v>548</v>
      </c>
      <c r="D37" s="118">
        <v>0</v>
      </c>
      <c r="E37" s="118"/>
      <c r="F37" s="117"/>
      <c r="G37" s="150"/>
      <c r="H37" s="124"/>
      <c r="I37" s="124"/>
      <c r="J37" s="124"/>
      <c r="K37" s="124"/>
      <c r="L37" s="124"/>
      <c r="M37" s="124"/>
      <c r="N37" s="124"/>
      <c r="O37" s="124"/>
      <c r="P37" s="124"/>
      <c r="Q37" s="124"/>
      <c r="R37" s="118"/>
      <c r="S37" s="118"/>
      <c r="T37" s="118"/>
      <c r="U37" s="118"/>
      <c r="V37" s="118"/>
      <c r="W37" s="118"/>
      <c r="X37" s="118"/>
      <c r="Y37" s="118"/>
      <c r="Z37" s="118"/>
      <c r="AA37" s="118"/>
      <c r="AB37" s="118"/>
      <c r="AC37" s="118"/>
    </row>
    <row r="38" spans="1:29" ht="12.75" customHeight="1">
      <c r="A38" s="119">
        <f t="shared" si="1"/>
        <v>28</v>
      </c>
      <c r="B38" s="131" t="s">
        <v>547</v>
      </c>
      <c r="C38" s="149" t="s">
        <v>546</v>
      </c>
      <c r="D38" s="118">
        <v>0</v>
      </c>
      <c r="E38" s="118"/>
      <c r="F38" s="117"/>
      <c r="G38" s="125"/>
      <c r="H38" s="124"/>
      <c r="I38" s="124"/>
      <c r="J38" s="124"/>
      <c r="K38" s="124"/>
      <c r="L38" s="124"/>
      <c r="M38" s="124"/>
      <c r="N38" s="124"/>
      <c r="O38" s="124"/>
      <c r="P38" s="124"/>
      <c r="Q38" s="124"/>
      <c r="R38" s="118"/>
      <c r="S38" s="118"/>
      <c r="T38" s="118"/>
      <c r="U38" s="118"/>
      <c r="V38" s="118"/>
      <c r="W38" s="118"/>
      <c r="X38" s="118"/>
      <c r="Y38" s="118"/>
      <c r="Z38" s="118"/>
      <c r="AA38" s="118"/>
      <c r="AB38" s="118"/>
      <c r="AC38" s="118"/>
    </row>
    <row r="39" spans="1:29" ht="12.75" customHeight="1">
      <c r="A39" s="119">
        <f t="shared" si="1"/>
        <v>29</v>
      </c>
      <c r="B39" s="131" t="s">
        <v>545</v>
      </c>
      <c r="C39" s="115" t="s">
        <v>544</v>
      </c>
      <c r="D39" s="124">
        <v>106307412</v>
      </c>
      <c r="E39" s="118"/>
      <c r="F39" s="117"/>
      <c r="G39" s="125"/>
      <c r="H39" s="124"/>
      <c r="I39" s="124"/>
      <c r="J39" s="124"/>
      <c r="K39" s="124"/>
      <c r="L39" s="124"/>
      <c r="M39" s="124"/>
      <c r="N39" s="124"/>
      <c r="O39" s="124"/>
      <c r="P39" s="124"/>
      <c r="Q39" s="124"/>
      <c r="R39" s="118"/>
      <c r="S39" s="118"/>
      <c r="T39" s="118"/>
      <c r="U39" s="118"/>
      <c r="V39" s="118"/>
      <c r="W39" s="118"/>
      <c r="X39" s="118"/>
      <c r="Y39" s="118"/>
      <c r="Z39" s="118"/>
      <c r="AA39" s="118"/>
      <c r="AB39" s="118"/>
      <c r="AC39" s="118"/>
    </row>
    <row r="40" spans="1:29" ht="12.75" customHeight="1">
      <c r="A40" s="119">
        <f t="shared" si="1"/>
        <v>30</v>
      </c>
      <c r="B40" s="131" t="s">
        <v>543</v>
      </c>
      <c r="C40" s="149" t="s">
        <v>542</v>
      </c>
      <c r="D40" s="130">
        <v>0</v>
      </c>
      <c r="E40" s="118"/>
      <c r="F40" s="117"/>
      <c r="G40" s="121"/>
      <c r="H40" s="124"/>
      <c r="I40" s="124"/>
      <c r="J40" s="124"/>
      <c r="K40" s="124"/>
      <c r="L40" s="124"/>
      <c r="M40" s="124"/>
      <c r="N40" s="124"/>
      <c r="O40" s="124"/>
      <c r="P40" s="124"/>
      <c r="Q40" s="124"/>
      <c r="R40" s="118"/>
      <c r="S40" s="118"/>
      <c r="T40" s="118"/>
      <c r="U40" s="118"/>
      <c r="V40" s="118"/>
      <c r="W40" s="118"/>
      <c r="X40" s="118"/>
      <c r="Y40" s="118"/>
      <c r="Z40" s="118"/>
      <c r="AA40" s="118"/>
      <c r="AB40" s="118"/>
      <c r="AC40" s="118"/>
    </row>
    <row r="41" spans="1:29" ht="24">
      <c r="A41" s="119">
        <f t="shared" si="1"/>
        <v>31</v>
      </c>
      <c r="B41" s="129" t="s">
        <v>541</v>
      </c>
      <c r="C41" s="148" t="str">
        <f>"Ln"&amp;A31&amp;"-"&amp;"Ln"&amp;A32&amp;"+"&amp;"Ln"&amp;A33&amp;"-"&amp;"Ln"&amp;A34&amp;"+"&amp;"Ln"&amp;A35&amp;"-"&amp;"Ln"&amp;A36&amp;"+"&amp;"Ln"&amp;A37&amp;"-"&amp;"Ln"&amp;A38&amp;"+"&amp;"Ln"&amp;A39&amp;"-"&amp;"Ln"&amp;A40&amp;""</f>
        <v>Ln21-Ln22+Ln23-Ln24+Ln25-Ln26+Ln27-Ln28+Ln29-Ln30</v>
      </c>
      <c r="D41" s="118">
        <f>D31-D32+D33-D34+D35-D36+D37-D38+D39-D40</f>
        <v>558312174</v>
      </c>
      <c r="E41" s="118"/>
      <c r="F41" s="117"/>
      <c r="G41" s="121"/>
      <c r="H41" s="124"/>
      <c r="I41" s="124"/>
      <c r="J41" s="124"/>
      <c r="K41" s="124"/>
      <c r="L41" s="124"/>
      <c r="M41" s="124"/>
      <c r="N41" s="124"/>
      <c r="O41" s="124"/>
      <c r="P41" s="124"/>
      <c r="Q41" s="124"/>
      <c r="R41" s="118"/>
      <c r="S41" s="118"/>
      <c r="T41" s="118"/>
      <c r="U41" s="118"/>
      <c r="V41" s="118"/>
      <c r="W41" s="118"/>
      <c r="X41" s="118"/>
      <c r="Y41" s="118"/>
      <c r="Z41" s="118"/>
      <c r="AA41" s="118"/>
      <c r="AB41" s="118"/>
      <c r="AC41" s="118"/>
    </row>
    <row r="42" spans="1:29" ht="3" customHeight="1">
      <c r="B42" s="136"/>
      <c r="C42" s="126"/>
      <c r="D42" s="118"/>
      <c r="E42" s="118"/>
      <c r="F42" s="117"/>
      <c r="G42" s="121"/>
      <c r="H42" s="124"/>
      <c r="I42" s="118"/>
      <c r="J42" s="118"/>
      <c r="K42" s="118"/>
      <c r="L42" s="118"/>
      <c r="M42" s="118"/>
      <c r="N42" s="118"/>
      <c r="O42" s="118"/>
      <c r="P42" s="118"/>
      <c r="Q42" s="118"/>
      <c r="R42" s="118"/>
      <c r="S42" s="118"/>
      <c r="T42" s="118"/>
      <c r="U42" s="118"/>
      <c r="V42" s="118"/>
      <c r="W42" s="118"/>
      <c r="X42" s="118"/>
      <c r="Y42" s="118"/>
      <c r="Z42" s="118"/>
      <c r="AA42" s="118"/>
      <c r="AB42" s="118"/>
      <c r="AC42" s="118"/>
    </row>
    <row r="43" spans="1:29" ht="12.75" customHeight="1">
      <c r="A43" s="119">
        <f>A41+1</f>
        <v>32</v>
      </c>
      <c r="B43" s="131" t="s">
        <v>41</v>
      </c>
      <c r="C43" s="115" t="s">
        <v>540</v>
      </c>
      <c r="D43" s="118">
        <v>283783251</v>
      </c>
      <c r="E43" s="118"/>
      <c r="F43" s="117"/>
      <c r="G43" s="121"/>
      <c r="H43" s="124"/>
      <c r="I43" s="118"/>
      <c r="J43" s="118"/>
      <c r="K43" s="118"/>
      <c r="L43" s="118"/>
      <c r="M43" s="118"/>
      <c r="N43" s="118"/>
      <c r="O43" s="118"/>
      <c r="P43" s="118"/>
      <c r="Q43" s="118"/>
      <c r="R43" s="118"/>
      <c r="S43" s="118"/>
      <c r="T43" s="118"/>
      <c r="U43" s="118"/>
      <c r="V43" s="118"/>
      <c r="W43" s="118"/>
      <c r="X43" s="118"/>
      <c r="Y43" s="118"/>
      <c r="Z43" s="118"/>
      <c r="AA43" s="118"/>
      <c r="AB43" s="118"/>
      <c r="AC43" s="118"/>
    </row>
    <row r="44" spans="1:29" ht="12.75" customHeight="1">
      <c r="A44" s="119">
        <f>A43+1</f>
        <v>33</v>
      </c>
      <c r="B44" s="131" t="s">
        <v>533</v>
      </c>
      <c r="C44" s="115" t="s">
        <v>539</v>
      </c>
      <c r="D44" s="130">
        <v>0</v>
      </c>
      <c r="E44" s="118"/>
      <c r="F44" s="117"/>
      <c r="G44" s="121"/>
      <c r="H44" s="124"/>
      <c r="I44" s="124"/>
      <c r="J44" s="124"/>
      <c r="K44" s="124"/>
      <c r="L44" s="124"/>
      <c r="M44" s="118"/>
      <c r="N44" s="118"/>
      <c r="O44" s="118"/>
      <c r="P44" s="118"/>
      <c r="Q44" s="118"/>
      <c r="R44" s="118"/>
      <c r="S44" s="118"/>
      <c r="T44" s="118"/>
      <c r="U44" s="118"/>
      <c r="V44" s="118"/>
      <c r="W44" s="118"/>
      <c r="X44" s="118"/>
      <c r="Y44" s="118"/>
      <c r="Z44" s="118"/>
      <c r="AA44" s="118"/>
      <c r="AB44" s="118"/>
      <c r="AC44" s="118"/>
    </row>
    <row r="45" spans="1:29" ht="12.75" customHeight="1">
      <c r="A45" s="119">
        <f>A44+1</f>
        <v>34</v>
      </c>
      <c r="B45" s="129" t="s">
        <v>538</v>
      </c>
      <c r="C45" s="115" t="str">
        <f>"Ln"&amp;A43&amp;" - "&amp;"Ln"&amp;A44&amp;""</f>
        <v>Ln32 - Ln33</v>
      </c>
      <c r="D45" s="118">
        <f>D43-D44</f>
        <v>283783251</v>
      </c>
      <c r="E45" s="118"/>
      <c r="F45" s="117"/>
      <c r="G45" s="121"/>
      <c r="H45" s="124"/>
      <c r="I45" s="124"/>
      <c r="J45" s="124"/>
      <c r="K45" s="124"/>
      <c r="L45" s="124"/>
      <c r="M45" s="118"/>
      <c r="N45" s="118"/>
      <c r="O45" s="118"/>
      <c r="P45" s="118"/>
      <c r="Q45" s="118"/>
      <c r="R45" s="118"/>
      <c r="S45" s="118"/>
      <c r="T45" s="118"/>
      <c r="U45" s="118"/>
      <c r="V45" s="118"/>
      <c r="W45" s="118"/>
      <c r="X45" s="118"/>
      <c r="Y45" s="118"/>
      <c r="Z45" s="118"/>
      <c r="AA45" s="118"/>
      <c r="AB45" s="118"/>
      <c r="AC45" s="118"/>
    </row>
    <row r="46" spans="1:29" ht="3" customHeight="1">
      <c r="B46" s="131"/>
      <c r="D46" s="118"/>
      <c r="E46" s="118"/>
      <c r="F46" s="117"/>
      <c r="G46" s="121"/>
      <c r="H46" s="124"/>
      <c r="I46" s="124"/>
      <c r="J46" s="124"/>
      <c r="K46" s="124"/>
      <c r="L46" s="124"/>
      <c r="M46" s="118"/>
      <c r="N46" s="118"/>
      <c r="O46" s="118"/>
      <c r="P46" s="118"/>
      <c r="Q46" s="118"/>
      <c r="R46" s="118"/>
      <c r="S46" s="118"/>
      <c r="T46" s="118"/>
      <c r="U46" s="118"/>
      <c r="V46" s="118"/>
      <c r="W46" s="118"/>
      <c r="X46" s="118"/>
      <c r="Y46" s="118"/>
      <c r="Z46" s="118"/>
      <c r="AA46" s="118"/>
      <c r="AB46" s="118"/>
      <c r="AC46" s="118"/>
    </row>
    <row r="47" spans="1:29" ht="12.75" customHeight="1">
      <c r="A47" s="119">
        <f>A45+1</f>
        <v>35</v>
      </c>
      <c r="B47" s="131" t="s">
        <v>42</v>
      </c>
      <c r="C47" s="115" t="s">
        <v>537</v>
      </c>
      <c r="D47" s="118">
        <v>380203901</v>
      </c>
      <c r="E47" s="118"/>
      <c r="F47" s="117"/>
      <c r="G47" s="121"/>
      <c r="H47" s="124"/>
      <c r="I47" s="124"/>
      <c r="J47" s="124"/>
      <c r="K47" s="124"/>
      <c r="L47" s="124"/>
      <c r="M47" s="147"/>
      <c r="N47" s="118"/>
      <c r="O47" s="118"/>
      <c r="P47" s="147"/>
      <c r="Q47" s="118"/>
      <c r="R47" s="118"/>
      <c r="S47" s="147"/>
      <c r="T47" s="118"/>
      <c r="U47" s="118"/>
      <c r="V47" s="147"/>
      <c r="W47" s="118"/>
      <c r="X47" s="118"/>
      <c r="Y47" s="147"/>
      <c r="Z47" s="118"/>
      <c r="AA47" s="118"/>
      <c r="AB47" s="147"/>
      <c r="AC47" s="118"/>
    </row>
    <row r="48" spans="1:29" ht="12.75" customHeight="1">
      <c r="A48" s="119">
        <f>A47+1</f>
        <v>36</v>
      </c>
      <c r="B48" s="131" t="s">
        <v>533</v>
      </c>
      <c r="C48" s="115" t="s">
        <v>536</v>
      </c>
      <c r="D48" s="130">
        <v>0</v>
      </c>
      <c r="E48" s="118"/>
      <c r="F48" s="117"/>
      <c r="G48" s="125"/>
      <c r="H48" s="124"/>
      <c r="I48" s="124"/>
      <c r="J48" s="124"/>
      <c r="K48" s="124"/>
      <c r="L48" s="124"/>
      <c r="M48" s="147"/>
      <c r="N48" s="118"/>
      <c r="O48" s="118"/>
      <c r="P48" s="147"/>
      <c r="Q48" s="118"/>
      <c r="R48" s="118"/>
      <c r="S48" s="147"/>
      <c r="T48" s="118"/>
      <c r="U48" s="118"/>
      <c r="V48" s="147"/>
      <c r="W48" s="118"/>
      <c r="X48" s="118"/>
      <c r="Y48" s="147"/>
      <c r="Z48" s="118"/>
      <c r="AA48" s="118"/>
      <c r="AB48" s="147"/>
      <c r="AC48" s="118"/>
    </row>
    <row r="49" spans="1:29" ht="12.75" customHeight="1">
      <c r="A49" s="119">
        <f>A48+1</f>
        <v>37</v>
      </c>
      <c r="B49" s="127" t="s">
        <v>535</v>
      </c>
      <c r="C49" s="115" t="str">
        <f>"Ln"&amp;A47&amp;" - "&amp;"Ln"&amp;A48&amp;""</f>
        <v>Ln35 - Ln36</v>
      </c>
      <c r="D49" s="118">
        <f>D47-D48</f>
        <v>380203901</v>
      </c>
      <c r="E49" s="118"/>
      <c r="F49" s="117"/>
      <c r="G49" s="121"/>
      <c r="H49" s="124"/>
      <c r="I49" s="124"/>
      <c r="J49" s="124"/>
      <c r="K49" s="124"/>
      <c r="L49" s="124"/>
      <c r="M49" s="147"/>
      <c r="N49" s="118"/>
      <c r="O49" s="118"/>
      <c r="P49" s="147"/>
      <c r="Q49" s="118"/>
      <c r="R49" s="118"/>
      <c r="S49" s="147"/>
      <c r="T49" s="118"/>
      <c r="U49" s="118"/>
      <c r="V49" s="147"/>
      <c r="W49" s="118"/>
      <c r="X49" s="118"/>
      <c r="Y49" s="147"/>
      <c r="Z49" s="118"/>
      <c r="AA49" s="118"/>
      <c r="AB49" s="147"/>
      <c r="AC49" s="118"/>
    </row>
    <row r="50" spans="1:29" ht="3" customHeight="1">
      <c r="B50" s="127"/>
      <c r="D50" s="118"/>
      <c r="E50" s="118"/>
      <c r="F50" s="117"/>
      <c r="G50" s="121"/>
      <c r="H50" s="124"/>
      <c r="I50" s="124"/>
      <c r="J50" s="124"/>
      <c r="K50" s="124"/>
      <c r="L50" s="124"/>
      <c r="M50" s="147"/>
      <c r="N50" s="118"/>
      <c r="O50" s="118"/>
      <c r="P50" s="147"/>
      <c r="Q50" s="118"/>
      <c r="R50" s="118"/>
      <c r="S50" s="147"/>
      <c r="T50" s="118"/>
      <c r="U50" s="118"/>
      <c r="V50" s="147"/>
      <c r="W50" s="118"/>
      <c r="X50" s="118"/>
      <c r="Y50" s="147"/>
      <c r="Z50" s="118"/>
      <c r="AA50" s="118"/>
      <c r="AB50" s="147"/>
      <c r="AC50" s="118"/>
    </row>
    <row r="51" spans="1:29" ht="12.75" customHeight="1">
      <c r="A51" s="119">
        <f>A49+1</f>
        <v>38</v>
      </c>
      <c r="B51" s="132" t="s">
        <v>44</v>
      </c>
      <c r="C51" s="126" t="s">
        <v>534</v>
      </c>
      <c r="D51" s="124">
        <v>978203</v>
      </c>
      <c r="E51" s="118"/>
      <c r="F51" s="117"/>
      <c r="G51" s="121"/>
      <c r="H51" s="124"/>
      <c r="I51" s="124"/>
      <c r="J51" s="124"/>
      <c r="K51" s="124"/>
      <c r="L51" s="124"/>
      <c r="M51" s="118"/>
      <c r="N51" s="118"/>
      <c r="O51" s="118"/>
      <c r="P51" s="118"/>
      <c r="Q51" s="118"/>
      <c r="R51" s="118"/>
      <c r="S51" s="118"/>
      <c r="T51" s="118"/>
      <c r="U51" s="118"/>
      <c r="V51" s="118"/>
      <c r="W51" s="118"/>
      <c r="X51" s="118"/>
      <c r="Y51" s="118"/>
      <c r="Z51" s="118"/>
      <c r="AA51" s="118"/>
      <c r="AB51" s="118"/>
      <c r="AC51" s="118"/>
    </row>
    <row r="52" spans="1:29" ht="12.75" customHeight="1">
      <c r="A52" s="119">
        <f>A51+1</f>
        <v>39</v>
      </c>
      <c r="B52" s="131" t="s">
        <v>533</v>
      </c>
      <c r="C52" s="115" t="s">
        <v>532</v>
      </c>
      <c r="D52" s="124">
        <v>0</v>
      </c>
      <c r="E52" s="118"/>
      <c r="F52" s="117"/>
      <c r="G52" s="121"/>
      <c r="H52" s="124"/>
      <c r="I52" s="124"/>
      <c r="J52" s="124"/>
      <c r="K52" s="124"/>
      <c r="L52" s="124"/>
      <c r="M52" s="118"/>
      <c r="N52" s="118"/>
      <c r="O52" s="118"/>
      <c r="P52" s="118"/>
      <c r="Q52" s="118"/>
      <c r="R52" s="118"/>
      <c r="S52" s="118"/>
      <c r="T52" s="118"/>
      <c r="U52" s="118"/>
      <c r="V52" s="118"/>
      <c r="W52" s="118"/>
      <c r="X52" s="118"/>
      <c r="Y52" s="118"/>
      <c r="Z52" s="118"/>
      <c r="AA52" s="118"/>
      <c r="AB52" s="118"/>
      <c r="AC52" s="118"/>
    </row>
    <row r="53" spans="1:29" ht="12.75" customHeight="1">
      <c r="A53" s="119">
        <f>A52+1</f>
        <v>40</v>
      </c>
      <c r="B53" s="131" t="s">
        <v>461</v>
      </c>
      <c r="C53" s="115" t="s">
        <v>531</v>
      </c>
      <c r="D53" s="130">
        <v>123845684</v>
      </c>
      <c r="E53" s="118"/>
      <c r="F53" s="117"/>
      <c r="G53" s="121"/>
      <c r="H53" s="124"/>
      <c r="I53" s="124"/>
      <c r="J53" s="124"/>
      <c r="K53" s="124"/>
      <c r="L53" s="124"/>
      <c r="M53" s="118"/>
      <c r="N53" s="118"/>
      <c r="O53" s="118"/>
      <c r="P53" s="118"/>
      <c r="Q53" s="118"/>
      <c r="R53" s="118"/>
      <c r="S53" s="118"/>
      <c r="T53" s="118"/>
      <c r="U53" s="118"/>
      <c r="V53" s="118"/>
      <c r="W53" s="118"/>
      <c r="X53" s="118"/>
      <c r="Y53" s="118"/>
      <c r="Z53" s="118"/>
      <c r="AA53" s="118"/>
      <c r="AB53" s="118"/>
      <c r="AC53" s="118"/>
    </row>
    <row r="54" spans="1:29" ht="12.75" customHeight="1">
      <c r="A54" s="119">
        <f>A53+1</f>
        <v>41</v>
      </c>
      <c r="B54" s="129" t="s">
        <v>459</v>
      </c>
      <c r="C54" s="126" t="str">
        <f>"Ln"&amp;A51&amp;" - "&amp;"Ln"&amp;A52&amp;" + "&amp;"Ln"&amp;A53&amp;""</f>
        <v>Ln38 - Ln39 + Ln40</v>
      </c>
      <c r="D54" s="124">
        <f>D51-D52+D53</f>
        <v>124823887</v>
      </c>
      <c r="E54" s="118"/>
      <c r="F54" s="117"/>
      <c r="G54" s="121"/>
      <c r="H54" s="124"/>
      <c r="I54" s="124"/>
      <c r="J54" s="124"/>
      <c r="K54" s="124"/>
      <c r="L54" s="124"/>
      <c r="M54" s="118"/>
      <c r="N54" s="118"/>
      <c r="O54" s="118"/>
      <c r="P54" s="118"/>
      <c r="Q54" s="118"/>
      <c r="R54" s="118"/>
      <c r="S54" s="118"/>
      <c r="T54" s="118"/>
      <c r="U54" s="118"/>
      <c r="V54" s="118"/>
      <c r="W54" s="118"/>
      <c r="X54" s="118"/>
      <c r="Y54" s="118"/>
      <c r="Z54" s="118"/>
      <c r="AA54" s="118"/>
      <c r="AB54" s="118"/>
      <c r="AC54" s="118"/>
    </row>
    <row r="55" spans="1:29" ht="3" customHeight="1">
      <c r="B55" s="127"/>
      <c r="D55" s="124"/>
      <c r="E55" s="118"/>
      <c r="F55" s="117"/>
      <c r="G55" s="125"/>
      <c r="H55" s="124"/>
      <c r="I55" s="124"/>
      <c r="J55" s="124"/>
      <c r="K55" s="124"/>
      <c r="L55" s="124"/>
      <c r="M55" s="118"/>
      <c r="N55" s="118"/>
      <c r="O55" s="118"/>
      <c r="P55" s="118"/>
      <c r="Q55" s="118"/>
      <c r="R55" s="118"/>
      <c r="S55" s="118"/>
      <c r="T55" s="118"/>
      <c r="U55" s="118"/>
      <c r="V55" s="118"/>
      <c r="W55" s="118"/>
      <c r="X55" s="118"/>
      <c r="Y55" s="118"/>
      <c r="Z55" s="118"/>
      <c r="AA55" s="118"/>
      <c r="AB55" s="118"/>
      <c r="AC55" s="118"/>
    </row>
    <row r="56" spans="1:29" ht="12.75" customHeight="1">
      <c r="A56" s="119">
        <f>A54+1</f>
        <v>42</v>
      </c>
      <c r="B56" s="127" t="s">
        <v>458</v>
      </c>
      <c r="C56" s="115" t="s">
        <v>530</v>
      </c>
      <c r="D56" s="130">
        <v>0</v>
      </c>
      <c r="E56" s="118"/>
      <c r="F56" s="117"/>
      <c r="G56" s="121"/>
      <c r="H56" s="124"/>
      <c r="I56" s="124"/>
      <c r="J56" s="124"/>
      <c r="K56" s="124"/>
      <c r="L56" s="124"/>
      <c r="M56" s="118"/>
      <c r="N56" s="118"/>
      <c r="O56" s="118"/>
      <c r="P56" s="118"/>
      <c r="Q56" s="118"/>
      <c r="R56" s="118"/>
      <c r="S56" s="118"/>
      <c r="T56" s="118"/>
      <c r="U56" s="118"/>
      <c r="V56" s="118"/>
      <c r="W56" s="118"/>
      <c r="X56" s="118"/>
      <c r="Y56" s="118"/>
      <c r="Z56" s="118"/>
      <c r="AA56" s="118"/>
      <c r="AB56" s="118"/>
      <c r="AC56" s="118"/>
    </row>
    <row r="57" spans="1:29" ht="12.75" customHeight="1">
      <c r="A57" s="119">
        <f>A56+1</f>
        <v>43</v>
      </c>
      <c r="B57" s="132" t="s">
        <v>529</v>
      </c>
      <c r="C57" s="146" t="str">
        <f>"Ln"&amp;A41&amp;"+"&amp;"Ln"&amp;A45&amp;"+"&amp;"Ln"&amp;A49&amp;"+"&amp;"Ln"&amp;A54&amp;"+"&amp;"Ln"&amp;A56&amp;""</f>
        <v>Ln31+Ln34+Ln37+Ln41+Ln42</v>
      </c>
      <c r="D57" s="124">
        <f>D41+D45+D49+D54+D56</f>
        <v>1347123213</v>
      </c>
      <c r="E57" s="118"/>
      <c r="F57" s="117"/>
      <c r="G57" s="125"/>
      <c r="H57" s="124"/>
      <c r="I57" s="124"/>
      <c r="J57" s="124"/>
      <c r="K57" s="124"/>
      <c r="L57" s="124"/>
      <c r="M57" s="118"/>
      <c r="N57" s="118"/>
      <c r="O57" s="118"/>
      <c r="P57" s="118"/>
      <c r="Q57" s="118"/>
      <c r="R57" s="118"/>
      <c r="S57" s="118"/>
      <c r="T57" s="118"/>
      <c r="U57" s="118"/>
      <c r="V57" s="118"/>
      <c r="W57" s="118"/>
      <c r="X57" s="118"/>
      <c r="Y57" s="118"/>
      <c r="Z57" s="118"/>
      <c r="AA57" s="118"/>
      <c r="AB57" s="118"/>
      <c r="AC57" s="118"/>
    </row>
    <row r="58" spans="1:29" ht="12.75" customHeight="1">
      <c r="D58" s="118"/>
      <c r="E58" s="118"/>
      <c r="F58" s="117"/>
      <c r="G58" s="125"/>
      <c r="H58" s="124"/>
      <c r="I58" s="118"/>
      <c r="J58" s="118"/>
      <c r="K58" s="118"/>
      <c r="L58" s="118"/>
      <c r="M58" s="446"/>
      <c r="N58" s="446"/>
      <c r="O58" s="446"/>
      <c r="P58" s="446"/>
      <c r="Q58" s="446"/>
      <c r="R58" s="446"/>
      <c r="S58" s="446"/>
      <c r="T58" s="446"/>
      <c r="U58" s="446"/>
      <c r="V58" s="446"/>
      <c r="W58" s="446"/>
      <c r="X58" s="446"/>
      <c r="Y58" s="446"/>
      <c r="Z58" s="446"/>
      <c r="AA58" s="446"/>
      <c r="AB58" s="446"/>
      <c r="AC58" s="446"/>
    </row>
    <row r="59" spans="1:29" ht="12.75" customHeight="1">
      <c r="A59" s="119">
        <f>A57+1</f>
        <v>44</v>
      </c>
      <c r="B59" s="126" t="s">
        <v>528</v>
      </c>
      <c r="C59" s="126"/>
      <c r="D59" s="118"/>
      <c r="E59" s="118"/>
      <c r="F59" s="117"/>
      <c r="G59" s="121"/>
      <c r="H59" s="124"/>
      <c r="I59" s="124"/>
      <c r="J59" s="124"/>
      <c r="K59" s="124"/>
      <c r="L59" s="124"/>
      <c r="M59" s="145"/>
      <c r="N59" s="145"/>
      <c r="O59" s="145"/>
      <c r="P59" s="145"/>
      <c r="Q59" s="145"/>
      <c r="R59" s="145"/>
      <c r="S59" s="145"/>
      <c r="T59" s="145"/>
      <c r="U59" s="145"/>
      <c r="V59" s="145"/>
      <c r="W59" s="145"/>
      <c r="X59" s="145"/>
      <c r="Y59" s="145"/>
      <c r="Z59" s="145"/>
      <c r="AA59" s="145"/>
      <c r="AB59" s="145"/>
      <c r="AC59" s="145"/>
    </row>
    <row r="60" spans="1:29" ht="12.75" customHeight="1">
      <c r="A60" s="119">
        <f>A59+1</f>
        <v>45</v>
      </c>
      <c r="B60" s="129" t="s">
        <v>527</v>
      </c>
      <c r="C60" s="115" t="s">
        <v>526</v>
      </c>
      <c r="D60" s="118">
        <v>0</v>
      </c>
      <c r="E60" s="118"/>
      <c r="F60" s="117"/>
      <c r="G60" s="121"/>
      <c r="H60" s="124"/>
      <c r="I60" s="124"/>
      <c r="J60" s="124"/>
      <c r="K60" s="124"/>
      <c r="L60" s="124"/>
      <c r="M60" s="118"/>
      <c r="N60" s="118"/>
      <c r="O60" s="118"/>
      <c r="P60" s="118"/>
      <c r="Q60" s="118"/>
      <c r="R60" s="118"/>
      <c r="S60" s="118"/>
      <c r="T60" s="118"/>
      <c r="U60" s="118"/>
      <c r="V60" s="118"/>
      <c r="W60" s="118"/>
      <c r="X60" s="118"/>
      <c r="Y60" s="118"/>
      <c r="Z60" s="118"/>
      <c r="AA60" s="118"/>
      <c r="AB60" s="118"/>
      <c r="AC60" s="118"/>
    </row>
    <row r="61" spans="1:29" ht="12.75" customHeight="1">
      <c r="A61" s="119">
        <f>A60+1</f>
        <v>46</v>
      </c>
      <c r="B61" s="132" t="s">
        <v>525</v>
      </c>
      <c r="C61" s="126" t="s">
        <v>524</v>
      </c>
      <c r="D61" s="118">
        <v>-741017778</v>
      </c>
      <c r="E61" s="118"/>
      <c r="F61" s="117"/>
      <c r="G61" s="121"/>
      <c r="H61" s="124"/>
      <c r="I61" s="124"/>
      <c r="J61" s="124"/>
      <c r="K61" s="124"/>
      <c r="L61" s="124"/>
      <c r="M61" s="118"/>
      <c r="N61" s="118"/>
      <c r="O61" s="118"/>
      <c r="P61" s="118"/>
      <c r="Q61" s="118"/>
      <c r="R61" s="118"/>
      <c r="S61" s="118"/>
      <c r="T61" s="118"/>
      <c r="U61" s="118"/>
      <c r="V61" s="118"/>
      <c r="W61" s="118"/>
      <c r="X61" s="118"/>
      <c r="Y61" s="118"/>
      <c r="Z61" s="118"/>
      <c r="AA61" s="118"/>
      <c r="AB61" s="118"/>
      <c r="AC61" s="118"/>
    </row>
    <row r="62" spans="1:29" ht="12.75" customHeight="1">
      <c r="A62" s="119">
        <f>A61+1</f>
        <v>47</v>
      </c>
      <c r="B62" s="132" t="s">
        <v>523</v>
      </c>
      <c r="C62" s="126" t="s">
        <v>514</v>
      </c>
      <c r="D62" s="130">
        <f>'WP 2'!E20</f>
        <v>-41569697.670000002</v>
      </c>
      <c r="E62" s="118"/>
      <c r="F62" s="117"/>
      <c r="G62" s="121"/>
      <c r="H62" s="124"/>
      <c r="I62" s="124"/>
      <c r="J62" s="124"/>
      <c r="K62" s="124"/>
      <c r="L62" s="124"/>
      <c r="M62" s="118"/>
      <c r="N62" s="118"/>
      <c r="O62" s="118"/>
      <c r="P62" s="118"/>
      <c r="Q62" s="118"/>
      <c r="R62" s="118"/>
      <c r="S62" s="118"/>
      <c r="T62" s="118"/>
      <c r="U62" s="118"/>
      <c r="V62" s="118"/>
      <c r="W62" s="118"/>
      <c r="X62" s="118"/>
      <c r="Y62" s="118"/>
      <c r="Z62" s="118"/>
      <c r="AA62" s="118"/>
      <c r="AB62" s="118"/>
      <c r="AC62" s="118"/>
    </row>
    <row r="63" spans="1:29" ht="12.75" customHeight="1">
      <c r="A63" s="119">
        <f>A62+1</f>
        <v>48</v>
      </c>
      <c r="B63" s="127" t="s">
        <v>522</v>
      </c>
      <c r="C63" s="115" t="str">
        <f>"Ln"&amp;A61&amp;" - "&amp;"Ln"&amp;A62&amp;""</f>
        <v>Ln46 - Ln47</v>
      </c>
      <c r="D63" s="118">
        <f>D61-D62</f>
        <v>-699448080.33000004</v>
      </c>
      <c r="F63" s="117"/>
      <c r="G63" s="125"/>
      <c r="H63" s="124"/>
      <c r="I63" s="124"/>
      <c r="J63" s="124"/>
      <c r="K63" s="124"/>
      <c r="L63" s="124"/>
      <c r="M63" s="118"/>
      <c r="N63" s="118"/>
      <c r="O63" s="118"/>
      <c r="P63" s="118"/>
      <c r="Q63" s="118"/>
      <c r="R63" s="118"/>
      <c r="S63" s="118"/>
      <c r="T63" s="118"/>
      <c r="U63" s="118"/>
      <c r="V63" s="118"/>
      <c r="W63" s="118"/>
      <c r="X63" s="118"/>
      <c r="Y63" s="118"/>
      <c r="Z63" s="118"/>
      <c r="AA63" s="118"/>
      <c r="AB63" s="118"/>
      <c r="AC63" s="118"/>
    </row>
    <row r="64" spans="1:29" ht="3" customHeight="1">
      <c r="B64" s="137"/>
      <c r="D64" s="118"/>
      <c r="E64" s="118"/>
      <c r="F64" s="117"/>
      <c r="G64" s="125"/>
      <c r="H64" s="124"/>
      <c r="I64" s="124"/>
      <c r="J64" s="124"/>
      <c r="K64" s="124"/>
      <c r="L64" s="124"/>
      <c r="M64" s="118"/>
      <c r="N64" s="118"/>
      <c r="O64" s="118"/>
      <c r="P64" s="118"/>
      <c r="Q64" s="118"/>
      <c r="R64" s="118"/>
      <c r="S64" s="118"/>
      <c r="T64" s="118"/>
      <c r="U64" s="118"/>
      <c r="V64" s="118"/>
      <c r="W64" s="118"/>
      <c r="X64" s="118"/>
      <c r="Y64" s="118"/>
      <c r="Z64" s="118"/>
      <c r="AA64" s="118"/>
      <c r="AB64" s="118"/>
      <c r="AC64" s="118"/>
    </row>
    <row r="65" spans="1:29" ht="12.75" customHeight="1">
      <c r="A65" s="119">
        <f>A63+1</f>
        <v>49</v>
      </c>
      <c r="B65" s="132" t="s">
        <v>521</v>
      </c>
      <c r="C65" s="115" t="s">
        <v>520</v>
      </c>
      <c r="D65" s="118">
        <v>-109309921</v>
      </c>
      <c r="E65" s="118"/>
      <c r="F65" s="117"/>
      <c r="G65" s="121"/>
      <c r="H65" s="124"/>
      <c r="I65" s="124"/>
      <c r="J65" s="124"/>
      <c r="K65" s="124"/>
      <c r="L65" s="124"/>
      <c r="M65" s="118"/>
      <c r="N65" s="118"/>
      <c r="O65" s="118"/>
      <c r="P65" s="118"/>
      <c r="Q65" s="118"/>
      <c r="R65" s="118"/>
      <c r="S65" s="118"/>
      <c r="T65" s="118"/>
      <c r="U65" s="118"/>
      <c r="V65" s="118"/>
      <c r="W65" s="118"/>
      <c r="X65" s="118"/>
      <c r="Y65" s="118"/>
      <c r="Z65" s="118"/>
      <c r="AA65" s="118"/>
      <c r="AB65" s="118"/>
      <c r="AC65" s="118"/>
    </row>
    <row r="66" spans="1:29" ht="12.75" customHeight="1">
      <c r="A66" s="119">
        <f>A65+1</f>
        <v>50</v>
      </c>
      <c r="B66" s="132" t="s">
        <v>519</v>
      </c>
      <c r="C66" s="126" t="s">
        <v>514</v>
      </c>
      <c r="D66" s="130">
        <f>'WP 2'!E21</f>
        <v>-16000769.57</v>
      </c>
      <c r="E66" s="118"/>
      <c r="F66" s="117"/>
      <c r="G66" s="121"/>
      <c r="H66" s="124"/>
      <c r="I66" s="124"/>
      <c r="J66" s="124"/>
      <c r="K66" s="124"/>
      <c r="L66" s="124"/>
      <c r="M66" s="118"/>
      <c r="N66" s="118"/>
      <c r="O66" s="118"/>
      <c r="P66" s="118"/>
      <c r="Q66" s="118"/>
      <c r="R66" s="118"/>
      <c r="S66" s="118"/>
      <c r="T66" s="118"/>
      <c r="U66" s="118"/>
      <c r="V66" s="118"/>
      <c r="W66" s="118"/>
      <c r="X66" s="118"/>
      <c r="Y66" s="118"/>
      <c r="Z66" s="118"/>
      <c r="AA66" s="118"/>
      <c r="AB66" s="118"/>
      <c r="AC66" s="118"/>
    </row>
    <row r="67" spans="1:29" ht="12.75" customHeight="1">
      <c r="A67" s="119">
        <f>A66+1</f>
        <v>51</v>
      </c>
      <c r="B67" s="129" t="s">
        <v>518</v>
      </c>
      <c r="C67" s="115" t="str">
        <f>"Ln"&amp;A65&amp;" - "&amp;"Ln"&amp;A66&amp;""</f>
        <v>Ln49 - Ln50</v>
      </c>
      <c r="D67" s="118">
        <f>D65-D66</f>
        <v>-93309151.430000007</v>
      </c>
      <c r="E67" s="118"/>
      <c r="F67" s="117"/>
      <c r="G67" s="125"/>
      <c r="H67" s="124"/>
      <c r="I67" s="124"/>
      <c r="J67" s="124"/>
      <c r="K67" s="124"/>
      <c r="L67" s="124"/>
      <c r="M67" s="118"/>
      <c r="N67" s="118"/>
      <c r="O67" s="118"/>
      <c r="P67" s="118"/>
      <c r="Q67" s="118"/>
      <c r="R67" s="118"/>
      <c r="S67" s="118"/>
      <c r="T67" s="118"/>
      <c r="U67" s="118"/>
      <c r="V67" s="118"/>
      <c r="W67" s="118"/>
      <c r="X67" s="118"/>
      <c r="Y67" s="118"/>
      <c r="Z67" s="118"/>
      <c r="AA67" s="118"/>
      <c r="AB67" s="118"/>
      <c r="AC67" s="118"/>
    </row>
    <row r="68" spans="1:29" ht="3" customHeight="1">
      <c r="B68" s="136"/>
      <c r="C68" s="126"/>
      <c r="D68" s="118"/>
      <c r="E68" s="118"/>
      <c r="F68" s="117"/>
      <c r="G68" s="125"/>
      <c r="H68" s="124"/>
      <c r="I68" s="124"/>
      <c r="J68" s="124"/>
      <c r="K68" s="124"/>
      <c r="L68" s="124"/>
      <c r="M68" s="118"/>
      <c r="N68" s="118"/>
      <c r="O68" s="118"/>
      <c r="P68" s="118"/>
      <c r="Q68" s="118"/>
      <c r="R68" s="118"/>
      <c r="S68" s="118"/>
      <c r="T68" s="118"/>
      <c r="U68" s="118"/>
      <c r="V68" s="118"/>
      <c r="W68" s="118"/>
      <c r="X68" s="118"/>
      <c r="Y68" s="118"/>
      <c r="Z68" s="118"/>
      <c r="AA68" s="118"/>
      <c r="AB68" s="118"/>
      <c r="AC68" s="118"/>
    </row>
    <row r="69" spans="1:29" ht="12.75" customHeight="1">
      <c r="A69" s="119">
        <f>A67+1</f>
        <v>52</v>
      </c>
      <c r="B69" s="132" t="s">
        <v>517</v>
      </c>
      <c r="C69" s="115" t="s">
        <v>516</v>
      </c>
      <c r="D69" s="118">
        <v>95494483</v>
      </c>
      <c r="E69" s="118"/>
      <c r="F69" s="117"/>
      <c r="G69" s="121"/>
      <c r="H69" s="124"/>
      <c r="I69" s="124"/>
      <c r="J69" s="124"/>
      <c r="K69" s="116"/>
      <c r="L69" s="124"/>
      <c r="M69" s="118"/>
      <c r="N69" s="118"/>
      <c r="O69" s="118"/>
      <c r="P69" s="118"/>
      <c r="Q69" s="118"/>
      <c r="R69" s="118"/>
      <c r="S69" s="118"/>
      <c r="T69" s="118"/>
      <c r="U69" s="118"/>
      <c r="V69" s="118"/>
      <c r="W69" s="118"/>
      <c r="X69" s="118"/>
      <c r="Y69" s="118"/>
      <c r="Z69" s="118"/>
      <c r="AA69" s="118"/>
      <c r="AB69" s="118"/>
      <c r="AC69" s="118"/>
    </row>
    <row r="70" spans="1:29" ht="12.75" customHeight="1">
      <c r="A70" s="119">
        <f>A69+1</f>
        <v>53</v>
      </c>
      <c r="B70" s="132" t="s">
        <v>515</v>
      </c>
      <c r="C70" s="126" t="s">
        <v>514</v>
      </c>
      <c r="D70" s="130">
        <f>'WP 2'!E19</f>
        <v>11529916.789999999</v>
      </c>
      <c r="E70" s="118"/>
      <c r="F70" s="117"/>
      <c r="G70" s="121"/>
      <c r="H70" s="124"/>
      <c r="I70" s="124"/>
      <c r="J70" s="124"/>
      <c r="K70" s="124"/>
      <c r="L70" s="124"/>
      <c r="M70" s="118"/>
      <c r="N70" s="118"/>
      <c r="O70" s="118"/>
      <c r="P70" s="118"/>
      <c r="Q70" s="118"/>
      <c r="R70" s="118"/>
      <c r="S70" s="118"/>
      <c r="T70" s="118"/>
      <c r="U70" s="118"/>
      <c r="V70" s="118"/>
      <c r="W70" s="118"/>
      <c r="X70" s="118"/>
      <c r="Y70" s="118"/>
      <c r="Z70" s="118"/>
      <c r="AA70" s="118"/>
      <c r="AB70" s="118"/>
      <c r="AC70" s="118"/>
    </row>
    <row r="71" spans="1:29" ht="12.75" customHeight="1">
      <c r="A71" s="119">
        <f>A70+1</f>
        <v>54</v>
      </c>
      <c r="B71" s="129" t="s">
        <v>513</v>
      </c>
      <c r="C71" s="115" t="str">
        <f>"Ln"&amp;A69&amp;" - "&amp;"Ln"&amp;A70&amp;""</f>
        <v>Ln52 - Ln53</v>
      </c>
      <c r="D71" s="118">
        <f>D69-D70</f>
        <v>83964566.210000008</v>
      </c>
      <c r="E71" s="118"/>
      <c r="F71" s="117"/>
      <c r="G71" s="121"/>
      <c r="H71" s="124"/>
      <c r="I71" s="124"/>
      <c r="J71" s="124"/>
      <c r="K71" s="124"/>
      <c r="L71" s="124"/>
      <c r="M71" s="118"/>
      <c r="N71" s="118"/>
      <c r="O71" s="118"/>
      <c r="P71" s="118"/>
      <c r="Q71" s="118"/>
      <c r="R71" s="118"/>
      <c r="S71" s="118"/>
      <c r="T71" s="118"/>
      <c r="U71" s="118"/>
      <c r="V71" s="118"/>
      <c r="W71" s="118"/>
      <c r="X71" s="118"/>
      <c r="Y71" s="118"/>
      <c r="Z71" s="118"/>
      <c r="AA71" s="118"/>
      <c r="AB71" s="118"/>
      <c r="AC71" s="118"/>
    </row>
    <row r="72" spans="1:29" ht="12.75" customHeight="1">
      <c r="B72" s="132"/>
      <c r="C72" s="126"/>
      <c r="E72" s="118"/>
      <c r="F72" s="117"/>
      <c r="G72" s="121"/>
      <c r="H72" s="124"/>
      <c r="I72" s="118"/>
      <c r="J72" s="118"/>
      <c r="K72" s="118"/>
      <c r="L72" s="118"/>
      <c r="M72" s="118"/>
      <c r="N72" s="118"/>
      <c r="O72" s="118"/>
      <c r="P72" s="118"/>
      <c r="Q72" s="118"/>
      <c r="R72" s="118"/>
      <c r="S72" s="118"/>
      <c r="T72" s="118"/>
      <c r="U72" s="118"/>
      <c r="V72" s="118"/>
      <c r="W72" s="118"/>
      <c r="X72" s="118"/>
      <c r="Y72" s="118"/>
      <c r="Z72" s="118"/>
      <c r="AA72" s="118"/>
      <c r="AB72" s="118"/>
      <c r="AC72" s="118"/>
    </row>
    <row r="73" spans="1:29" ht="12.75" customHeight="1">
      <c r="A73" s="119">
        <f>A71+1</f>
        <v>55</v>
      </c>
      <c r="B73" s="126" t="s">
        <v>512</v>
      </c>
      <c r="C73" s="126" t="s">
        <v>511</v>
      </c>
      <c r="D73" s="118">
        <f>'WP 3'!E12</f>
        <v>63276.539999999994</v>
      </c>
      <c r="E73" s="138"/>
      <c r="F73" s="117"/>
      <c r="G73" s="121"/>
      <c r="H73" s="124"/>
      <c r="I73" s="124"/>
      <c r="J73" s="118"/>
      <c r="K73" s="118"/>
      <c r="L73" s="118"/>
      <c r="M73" s="118"/>
      <c r="N73" s="118"/>
      <c r="O73" s="118"/>
      <c r="P73" s="118"/>
      <c r="Q73" s="118"/>
      <c r="R73" s="118"/>
      <c r="S73" s="118"/>
      <c r="T73" s="118"/>
      <c r="U73" s="118"/>
      <c r="V73" s="118"/>
      <c r="W73" s="118"/>
      <c r="X73" s="118"/>
      <c r="Y73" s="118"/>
      <c r="Z73" s="118"/>
      <c r="AA73" s="118"/>
      <c r="AB73" s="118"/>
      <c r="AC73" s="118"/>
    </row>
    <row r="74" spans="1:29" ht="12.75" customHeight="1">
      <c r="B74" s="129"/>
      <c r="D74" s="118"/>
      <c r="E74" s="118"/>
      <c r="F74" s="117"/>
      <c r="G74" s="121"/>
      <c r="H74" s="124"/>
      <c r="I74" s="124"/>
      <c r="J74" s="118"/>
      <c r="K74" s="118"/>
      <c r="L74" s="118"/>
      <c r="M74" s="118"/>
      <c r="N74" s="118"/>
      <c r="O74" s="118"/>
      <c r="P74" s="118"/>
      <c r="Q74" s="118"/>
      <c r="R74" s="118"/>
      <c r="S74" s="118"/>
      <c r="T74" s="118"/>
      <c r="U74" s="118"/>
      <c r="V74" s="118"/>
      <c r="W74" s="118"/>
      <c r="X74" s="118"/>
      <c r="Y74" s="118"/>
      <c r="Z74" s="118"/>
      <c r="AA74" s="118"/>
      <c r="AB74" s="118"/>
      <c r="AC74" s="118"/>
    </row>
    <row r="75" spans="1:29" ht="12.75" customHeight="1">
      <c r="A75" s="119">
        <f>A73+1</f>
        <v>56</v>
      </c>
      <c r="B75" s="126" t="s">
        <v>510</v>
      </c>
      <c r="C75" s="126"/>
      <c r="D75" s="118"/>
      <c r="E75" s="118"/>
      <c r="F75" s="117"/>
      <c r="G75" s="121"/>
      <c r="H75" s="124"/>
      <c r="I75" s="118"/>
      <c r="J75" s="118"/>
      <c r="K75" s="118"/>
      <c r="L75" s="118"/>
      <c r="M75" s="118"/>
      <c r="N75" s="118"/>
      <c r="O75" s="118"/>
      <c r="P75" s="118"/>
      <c r="Q75" s="118"/>
      <c r="R75" s="118"/>
      <c r="S75" s="118"/>
      <c r="T75" s="118"/>
      <c r="U75" s="118"/>
      <c r="V75" s="118"/>
      <c r="W75" s="118"/>
      <c r="X75" s="118"/>
      <c r="Y75" s="118"/>
      <c r="Z75" s="118"/>
      <c r="AA75" s="118"/>
      <c r="AB75" s="118"/>
      <c r="AC75" s="118"/>
    </row>
    <row r="76" spans="1:29" ht="12.75" customHeight="1">
      <c r="A76" s="119">
        <f>A75+1</f>
        <v>57</v>
      </c>
      <c r="B76" s="132" t="s">
        <v>509</v>
      </c>
      <c r="C76" s="126" t="s">
        <v>508</v>
      </c>
      <c r="D76" s="118">
        <v>3174626</v>
      </c>
      <c r="E76" s="118"/>
      <c r="F76" s="117"/>
      <c r="G76" s="121"/>
      <c r="H76" s="124"/>
      <c r="I76" s="118"/>
      <c r="J76" s="118"/>
      <c r="K76" s="118"/>
      <c r="L76" s="118"/>
      <c r="M76" s="118"/>
      <c r="N76" s="118"/>
      <c r="O76" s="118"/>
      <c r="P76" s="118"/>
      <c r="Q76" s="118"/>
      <c r="R76" s="118"/>
      <c r="S76" s="118"/>
      <c r="T76" s="118"/>
      <c r="U76" s="118"/>
      <c r="V76" s="118"/>
      <c r="W76" s="118"/>
      <c r="X76" s="118"/>
      <c r="Y76" s="118"/>
      <c r="Z76" s="118"/>
      <c r="AA76" s="118"/>
      <c r="AB76" s="118"/>
      <c r="AC76" s="118"/>
    </row>
    <row r="77" spans="1:29" ht="12.75" customHeight="1">
      <c r="A77" s="119">
        <f>A76+1</f>
        <v>58</v>
      </c>
      <c r="B77" s="132" t="s">
        <v>507</v>
      </c>
      <c r="C77" s="115" t="s">
        <v>506</v>
      </c>
      <c r="D77" s="118">
        <v>6591663</v>
      </c>
      <c r="E77" s="118"/>
      <c r="F77" s="117"/>
      <c r="G77" s="121"/>
      <c r="H77" s="124"/>
      <c r="I77" s="118"/>
      <c r="J77" s="118"/>
      <c r="K77" s="118"/>
      <c r="L77" s="118"/>
      <c r="M77" s="118"/>
      <c r="N77" s="118"/>
      <c r="O77" s="118"/>
      <c r="P77" s="118"/>
      <c r="Q77" s="118"/>
      <c r="R77" s="118"/>
      <c r="S77" s="118"/>
      <c r="T77" s="118"/>
      <c r="U77" s="118"/>
      <c r="V77" s="118"/>
      <c r="W77" s="118"/>
      <c r="X77" s="118"/>
      <c r="Y77" s="118"/>
      <c r="Z77" s="118"/>
      <c r="AA77" s="118"/>
      <c r="AB77" s="118"/>
      <c r="AC77" s="118"/>
    </row>
    <row r="78" spans="1:29" ht="12.75" customHeight="1">
      <c r="A78" s="119">
        <f>A77+1</f>
        <v>59</v>
      </c>
      <c r="B78" s="131" t="s">
        <v>505</v>
      </c>
      <c r="C78" s="115" t="s">
        <v>504</v>
      </c>
      <c r="D78" s="118">
        <v>34257587</v>
      </c>
      <c r="E78" s="118"/>
      <c r="F78" s="117"/>
      <c r="G78" s="121"/>
      <c r="H78" s="124"/>
      <c r="I78" s="118"/>
      <c r="J78" s="118"/>
      <c r="K78" s="118"/>
      <c r="L78" s="118"/>
      <c r="M78" s="118"/>
      <c r="N78" s="118"/>
      <c r="O78" s="118"/>
      <c r="P78" s="118"/>
      <c r="Q78" s="118"/>
      <c r="R78" s="118"/>
      <c r="S78" s="118"/>
      <c r="T78" s="118"/>
      <c r="U78" s="118"/>
      <c r="V78" s="118"/>
      <c r="W78" s="118"/>
      <c r="X78" s="118"/>
      <c r="Y78" s="118"/>
      <c r="Z78" s="118"/>
      <c r="AA78" s="118"/>
      <c r="AB78" s="118"/>
      <c r="AC78" s="118"/>
    </row>
    <row r="79" spans="1:29" ht="12.75" customHeight="1">
      <c r="A79" s="119">
        <f>A78+1</f>
        <v>60</v>
      </c>
      <c r="B79" s="132" t="s">
        <v>503</v>
      </c>
      <c r="C79" s="126" t="s">
        <v>502</v>
      </c>
      <c r="D79" s="130">
        <f>(D76/D78)*D77</f>
        <v>610844.67925420438</v>
      </c>
      <c r="E79" s="124"/>
      <c r="F79" s="117"/>
      <c r="G79" s="121"/>
      <c r="H79" s="124"/>
      <c r="I79" s="124"/>
      <c r="J79" s="124"/>
      <c r="K79" s="124"/>
      <c r="L79" s="124"/>
      <c r="M79" s="118"/>
      <c r="N79" s="118"/>
      <c r="O79" s="118"/>
      <c r="P79" s="118"/>
      <c r="Q79" s="118"/>
      <c r="R79" s="118"/>
      <c r="S79" s="118"/>
      <c r="T79" s="118"/>
      <c r="U79" s="118"/>
      <c r="V79" s="118"/>
      <c r="W79" s="118"/>
      <c r="X79" s="118"/>
      <c r="Y79" s="118"/>
      <c r="Z79" s="118"/>
      <c r="AA79" s="118"/>
      <c r="AB79" s="118"/>
      <c r="AC79" s="118"/>
    </row>
    <row r="80" spans="1:29" ht="12.75" customHeight="1">
      <c r="A80" s="119">
        <f>A79+1</f>
        <v>61</v>
      </c>
      <c r="B80" s="127" t="s">
        <v>501</v>
      </c>
      <c r="C80" s="115" t="s">
        <v>500</v>
      </c>
      <c r="D80" s="118">
        <f>D76+D79</f>
        <v>3785470.6792542045</v>
      </c>
      <c r="E80" s="118"/>
      <c r="F80" s="117"/>
      <c r="G80" s="121"/>
      <c r="H80" s="124"/>
      <c r="I80" s="118"/>
      <c r="J80" s="118"/>
      <c r="K80" s="118"/>
      <c r="L80" s="118"/>
      <c r="M80" s="118"/>
      <c r="N80" s="118"/>
      <c r="O80" s="118"/>
      <c r="P80" s="118"/>
      <c r="Q80" s="118"/>
      <c r="R80" s="118"/>
      <c r="S80" s="118"/>
      <c r="T80" s="118"/>
      <c r="U80" s="118"/>
      <c r="V80" s="118"/>
      <c r="W80" s="118"/>
      <c r="X80" s="118"/>
      <c r="Y80" s="118"/>
      <c r="Z80" s="118"/>
      <c r="AA80" s="118"/>
      <c r="AB80" s="118"/>
      <c r="AC80" s="118"/>
    </row>
    <row r="81" spans="1:29" ht="12.75" customHeight="1">
      <c r="A81" s="119"/>
      <c r="B81" s="127"/>
      <c r="D81" s="118"/>
      <c r="E81" s="118"/>
      <c r="F81" s="117"/>
      <c r="G81" s="125"/>
      <c r="H81" s="124"/>
      <c r="I81" s="118"/>
      <c r="J81" s="118"/>
      <c r="K81" s="118"/>
      <c r="L81" s="118"/>
      <c r="M81" s="118"/>
      <c r="N81" s="118"/>
      <c r="O81" s="118"/>
      <c r="P81" s="118"/>
      <c r="Q81" s="118"/>
      <c r="R81" s="118"/>
      <c r="S81" s="118"/>
      <c r="T81" s="118"/>
      <c r="U81" s="118"/>
      <c r="V81" s="118"/>
      <c r="W81" s="118"/>
      <c r="X81" s="118"/>
      <c r="Y81" s="118"/>
      <c r="Z81" s="118"/>
      <c r="AA81" s="118"/>
      <c r="AB81" s="118"/>
      <c r="AC81" s="118"/>
    </row>
    <row r="82" spans="1:29" ht="12.75" customHeight="1">
      <c r="A82" s="119">
        <f>A80+1</f>
        <v>62</v>
      </c>
      <c r="B82" s="126" t="s">
        <v>499</v>
      </c>
      <c r="C82" s="115" t="s">
        <v>498</v>
      </c>
      <c r="D82" s="118">
        <v>2881815</v>
      </c>
      <c r="E82" s="118"/>
      <c r="F82" s="117"/>
      <c r="G82" s="121"/>
      <c r="H82" s="124"/>
      <c r="I82" s="118"/>
      <c r="J82" s="118"/>
      <c r="K82" s="118"/>
      <c r="L82" s="118"/>
      <c r="M82" s="118"/>
      <c r="N82" s="118"/>
      <c r="O82" s="118"/>
      <c r="P82" s="118"/>
      <c r="Q82" s="118"/>
      <c r="R82" s="118"/>
      <c r="S82" s="118"/>
      <c r="T82" s="118"/>
      <c r="U82" s="118"/>
      <c r="V82" s="118"/>
      <c r="W82" s="118"/>
      <c r="X82" s="118"/>
      <c r="Y82" s="118"/>
      <c r="Z82" s="118"/>
      <c r="AA82" s="118"/>
      <c r="AB82" s="118"/>
      <c r="AC82" s="118"/>
    </row>
    <row r="83" spans="1:29" ht="12.75" customHeight="1">
      <c r="A83" s="119"/>
      <c r="D83" s="118"/>
      <c r="E83" s="118"/>
      <c r="F83" s="117"/>
      <c r="G83" s="125"/>
      <c r="H83" s="124"/>
      <c r="I83" s="118"/>
      <c r="J83" s="118"/>
      <c r="K83" s="118"/>
      <c r="L83" s="118"/>
      <c r="M83" s="118"/>
      <c r="N83" s="118"/>
      <c r="O83" s="118"/>
      <c r="P83" s="118"/>
      <c r="Q83" s="118"/>
      <c r="R83" s="118"/>
      <c r="S83" s="118"/>
      <c r="T83" s="118"/>
      <c r="U83" s="118"/>
      <c r="V83" s="118"/>
      <c r="W83" s="118"/>
      <c r="X83" s="118"/>
      <c r="Y83" s="118"/>
      <c r="Z83" s="118"/>
      <c r="AA83" s="118"/>
      <c r="AB83" s="118"/>
      <c r="AC83" s="118"/>
    </row>
    <row r="84" spans="1:29" ht="12.75" customHeight="1">
      <c r="A84" s="119">
        <f>A82+1</f>
        <v>63</v>
      </c>
      <c r="B84" s="128" t="s">
        <v>497</v>
      </c>
      <c r="D84" s="118"/>
      <c r="E84" s="118"/>
      <c r="F84" s="117"/>
      <c r="G84" s="125"/>
      <c r="H84" s="124"/>
      <c r="I84" s="118"/>
      <c r="J84" s="118"/>
      <c r="K84" s="118"/>
      <c r="L84" s="118"/>
      <c r="M84" s="118"/>
      <c r="N84" s="118"/>
      <c r="O84" s="118"/>
      <c r="P84" s="118"/>
      <c r="Q84" s="118"/>
      <c r="R84" s="118"/>
      <c r="S84" s="118"/>
      <c r="T84" s="118"/>
      <c r="U84" s="118"/>
      <c r="V84" s="118"/>
      <c r="W84" s="118"/>
      <c r="X84" s="118"/>
      <c r="Y84" s="118"/>
      <c r="Z84" s="118"/>
      <c r="AA84" s="118"/>
      <c r="AB84" s="118"/>
      <c r="AC84" s="118"/>
    </row>
    <row r="85" spans="1:29" ht="12.75" customHeight="1">
      <c r="A85" s="119">
        <f>A84+1</f>
        <v>64</v>
      </c>
      <c r="B85" s="131" t="s">
        <v>211</v>
      </c>
      <c r="C85" s="115" t="s">
        <v>496</v>
      </c>
      <c r="D85" s="118">
        <v>20587716</v>
      </c>
      <c r="E85" s="118"/>
      <c r="F85" s="117"/>
      <c r="G85" s="121"/>
      <c r="H85" s="124"/>
      <c r="I85" s="118"/>
      <c r="J85" s="118"/>
      <c r="K85" s="118"/>
      <c r="L85" s="118"/>
      <c r="M85" s="118"/>
      <c r="N85" s="118"/>
      <c r="O85" s="118"/>
      <c r="P85" s="118"/>
      <c r="Q85" s="118"/>
      <c r="R85" s="118"/>
      <c r="S85" s="118"/>
      <c r="T85" s="118"/>
      <c r="U85" s="118"/>
      <c r="V85" s="118"/>
      <c r="W85" s="118"/>
      <c r="X85" s="118"/>
      <c r="Y85" s="118"/>
      <c r="Z85" s="118"/>
      <c r="AA85" s="118"/>
      <c r="AB85" s="118"/>
      <c r="AC85" s="118"/>
    </row>
    <row r="86" spans="1:29" ht="13.2">
      <c r="A86" s="119">
        <f>A85+1</f>
        <v>65</v>
      </c>
      <c r="B86" s="136" t="s">
        <v>370</v>
      </c>
      <c r="C86" s="115" t="s">
        <v>369</v>
      </c>
      <c r="D86" s="204">
        <f>-'WP 15'!H57</f>
        <v>132102.81999999995</v>
      </c>
      <c r="E86" s="118"/>
      <c r="F86" s="117"/>
      <c r="G86" s="125"/>
      <c r="H86" s="124"/>
      <c r="I86" s="118"/>
      <c r="J86" s="118"/>
      <c r="K86" s="118"/>
      <c r="L86" s="118"/>
      <c r="M86" s="118"/>
      <c r="N86" s="118"/>
      <c r="O86" s="118"/>
      <c r="P86" s="118"/>
      <c r="Q86" s="118"/>
      <c r="R86" s="118"/>
      <c r="S86" s="118"/>
      <c r="T86" s="118"/>
      <c r="U86" s="118"/>
      <c r="V86" s="118"/>
      <c r="W86" s="118"/>
      <c r="X86" s="118"/>
      <c r="Y86" s="118"/>
      <c r="Z86" s="118"/>
      <c r="AA86" s="118"/>
      <c r="AB86" s="118"/>
      <c r="AC86" s="118"/>
    </row>
    <row r="87" spans="1:29" ht="13.2">
      <c r="A87" s="119">
        <f>A86+1</f>
        <v>66</v>
      </c>
      <c r="B87" s="136" t="s">
        <v>368</v>
      </c>
      <c r="C87" s="115" t="s">
        <v>367</v>
      </c>
      <c r="D87" s="205">
        <f>'WP 16'!F40</f>
        <v>1016101.35</v>
      </c>
      <c r="E87" s="138"/>
      <c r="F87" s="117"/>
      <c r="G87" s="125"/>
      <c r="H87" s="124"/>
      <c r="I87" s="118"/>
      <c r="J87" s="118"/>
      <c r="K87" s="118"/>
      <c r="L87" s="118"/>
      <c r="M87" s="118"/>
      <c r="N87" s="118"/>
      <c r="O87" s="118"/>
      <c r="P87" s="118"/>
      <c r="Q87" s="118"/>
      <c r="R87" s="118"/>
      <c r="S87" s="118"/>
      <c r="T87" s="118"/>
      <c r="U87" s="118"/>
      <c r="V87" s="118"/>
      <c r="W87" s="118"/>
      <c r="X87" s="118"/>
      <c r="Y87" s="118"/>
      <c r="Z87" s="118"/>
      <c r="AA87" s="118"/>
      <c r="AB87" s="118"/>
      <c r="AC87" s="118"/>
    </row>
    <row r="88" spans="1:29" ht="12.75" customHeight="1">
      <c r="A88" s="119">
        <f>A87+1</f>
        <v>67</v>
      </c>
      <c r="B88" s="132" t="s">
        <v>495</v>
      </c>
      <c r="C88" s="115" t="s">
        <v>494</v>
      </c>
      <c r="D88" s="130">
        <f>+'WP 9'!E10</f>
        <v>214293.86000000004</v>
      </c>
      <c r="E88" s="118"/>
      <c r="F88" s="117"/>
      <c r="G88" s="121"/>
      <c r="H88" s="124"/>
      <c r="I88" s="118"/>
      <c r="J88" s="118"/>
      <c r="K88" s="118"/>
      <c r="L88" s="118"/>
      <c r="M88" s="118"/>
      <c r="N88" s="118"/>
      <c r="O88" s="118"/>
      <c r="P88" s="118"/>
      <c r="Q88" s="118"/>
      <c r="R88" s="118"/>
      <c r="S88" s="118"/>
      <c r="T88" s="118"/>
      <c r="U88" s="118"/>
      <c r="V88" s="118"/>
      <c r="W88" s="118"/>
      <c r="X88" s="118"/>
      <c r="Y88" s="118"/>
      <c r="Z88" s="118"/>
      <c r="AA88" s="118"/>
      <c r="AB88" s="118"/>
      <c r="AC88" s="118"/>
    </row>
    <row r="89" spans="1:29" ht="12.75" customHeight="1">
      <c r="A89" s="119">
        <f>A88+1</f>
        <v>68</v>
      </c>
      <c r="B89" s="129" t="s">
        <v>286</v>
      </c>
      <c r="C89" s="126" t="str">
        <f>"Ln"&amp;A85&amp;" - "&amp;"Ln"&amp;A86&amp;" - "&amp;"Ln"&amp;A87&amp;" - "&amp;"Ln"&amp;A88</f>
        <v>Ln64 - Ln65 - Ln66 - Ln67</v>
      </c>
      <c r="D89" s="118">
        <f>D85-D86-D87-D88</f>
        <v>19225217.969999999</v>
      </c>
      <c r="E89" s="118"/>
      <c r="F89" s="117"/>
      <c r="G89" s="121"/>
      <c r="H89" s="124"/>
      <c r="I89" s="118"/>
      <c r="J89" s="118"/>
      <c r="K89" s="118"/>
      <c r="L89" s="118"/>
      <c r="M89" s="118"/>
      <c r="N89" s="118"/>
      <c r="O89" s="118"/>
      <c r="P89" s="118"/>
      <c r="Q89" s="118"/>
      <c r="R89" s="118"/>
      <c r="S89" s="118"/>
      <c r="T89" s="118"/>
      <c r="U89" s="118"/>
      <c r="V89" s="118"/>
      <c r="W89" s="118"/>
      <c r="X89" s="118"/>
      <c r="Y89" s="118"/>
      <c r="Z89" s="118"/>
      <c r="AA89" s="118"/>
      <c r="AB89" s="118"/>
      <c r="AC89" s="118"/>
    </row>
    <row r="90" spans="1:29" ht="3" customHeight="1">
      <c r="A90" s="119"/>
      <c r="B90" s="127"/>
      <c r="D90" s="118"/>
      <c r="E90" s="118"/>
      <c r="F90" s="117"/>
      <c r="G90" s="121"/>
      <c r="H90" s="124"/>
      <c r="I90" s="118"/>
      <c r="J90" s="118"/>
      <c r="K90" s="118"/>
      <c r="L90" s="118"/>
      <c r="M90" s="118"/>
      <c r="N90" s="118"/>
      <c r="O90" s="118"/>
      <c r="P90" s="118"/>
      <c r="Q90" s="118"/>
      <c r="R90" s="118"/>
      <c r="S90" s="118"/>
      <c r="T90" s="118"/>
      <c r="U90" s="118"/>
      <c r="V90" s="118"/>
      <c r="W90" s="118"/>
      <c r="X90" s="118"/>
      <c r="Y90" s="118"/>
      <c r="Z90" s="118"/>
      <c r="AA90" s="118"/>
      <c r="AB90" s="118"/>
      <c r="AC90" s="118"/>
    </row>
    <row r="91" spans="1:29" ht="12.75" customHeight="1">
      <c r="A91" s="119">
        <f>A89+1</f>
        <v>69</v>
      </c>
      <c r="B91" s="132" t="s">
        <v>493</v>
      </c>
      <c r="C91" s="126" t="s">
        <v>492</v>
      </c>
      <c r="D91" s="118">
        <v>69871</v>
      </c>
      <c r="E91" s="118"/>
      <c r="F91" s="117"/>
      <c r="G91" s="125"/>
      <c r="H91" s="124"/>
      <c r="I91" s="118"/>
      <c r="J91" s="118"/>
      <c r="K91" s="118"/>
      <c r="L91" s="118"/>
      <c r="M91" s="118"/>
      <c r="N91" s="118"/>
      <c r="O91" s="118"/>
      <c r="P91" s="118"/>
      <c r="Q91" s="118"/>
      <c r="R91" s="118"/>
      <c r="S91" s="118"/>
      <c r="T91" s="118"/>
      <c r="U91" s="118"/>
      <c r="V91" s="118"/>
      <c r="W91" s="118"/>
      <c r="X91" s="118"/>
      <c r="Y91" s="118"/>
      <c r="Z91" s="118"/>
      <c r="AA91" s="118"/>
      <c r="AB91" s="118"/>
      <c r="AC91" s="118"/>
    </row>
    <row r="92" spans="1:29" ht="12.75" customHeight="1">
      <c r="A92" s="119">
        <f>A91+1</f>
        <v>70</v>
      </c>
      <c r="B92" s="132" t="s">
        <v>491</v>
      </c>
      <c r="C92" s="115" t="s">
        <v>490</v>
      </c>
      <c r="D92" s="130">
        <v>0</v>
      </c>
      <c r="E92" s="118"/>
      <c r="F92" s="117"/>
      <c r="G92" s="121"/>
      <c r="H92" s="124"/>
      <c r="I92" s="118"/>
      <c r="J92" s="118"/>
      <c r="K92" s="118"/>
      <c r="L92" s="118"/>
      <c r="M92" s="118"/>
      <c r="N92" s="118"/>
      <c r="O92" s="118"/>
      <c r="P92" s="118"/>
      <c r="Q92" s="118"/>
      <c r="R92" s="118"/>
      <c r="S92" s="118"/>
      <c r="T92" s="118"/>
      <c r="U92" s="118"/>
      <c r="V92" s="118"/>
      <c r="W92" s="118"/>
      <c r="X92" s="118"/>
      <c r="Y92" s="118"/>
      <c r="Z92" s="118"/>
      <c r="AA92" s="118"/>
      <c r="AB92" s="118"/>
      <c r="AC92" s="118"/>
    </row>
    <row r="93" spans="1:29" ht="12.75" customHeight="1">
      <c r="A93" s="119">
        <f>A92+1</f>
        <v>71</v>
      </c>
      <c r="B93" s="129" t="s">
        <v>489</v>
      </c>
      <c r="C93" s="115" t="str">
        <f>"Ln"&amp;A91&amp;" + "&amp;"Ln"&amp;A92&amp;""</f>
        <v>Ln69 + Ln70</v>
      </c>
      <c r="D93" s="118">
        <f>SUM(D91:D92)</f>
        <v>69871</v>
      </c>
      <c r="E93" s="118"/>
      <c r="F93" s="117"/>
      <c r="G93" s="125"/>
      <c r="H93" s="124"/>
      <c r="I93" s="118"/>
      <c r="J93" s="118"/>
      <c r="K93" s="118"/>
      <c r="L93" s="118"/>
      <c r="M93" s="118"/>
      <c r="N93" s="118"/>
      <c r="O93" s="118"/>
      <c r="P93" s="118"/>
      <c r="Q93" s="118"/>
      <c r="R93" s="118"/>
      <c r="S93" s="118"/>
      <c r="T93" s="118"/>
      <c r="U93" s="118"/>
      <c r="V93" s="118"/>
      <c r="W93" s="118"/>
      <c r="X93" s="118"/>
      <c r="Y93" s="118"/>
      <c r="Z93" s="118"/>
      <c r="AA93" s="118"/>
      <c r="AB93" s="118"/>
      <c r="AC93" s="118"/>
    </row>
    <row r="94" spans="1:29" ht="3" customHeight="1">
      <c r="A94" s="119"/>
      <c r="B94" s="129"/>
      <c r="C94" s="126"/>
      <c r="D94" s="118"/>
      <c r="E94" s="118"/>
      <c r="F94" s="117"/>
      <c r="G94" s="121"/>
      <c r="H94" s="124"/>
      <c r="I94" s="118"/>
      <c r="J94" s="118"/>
      <c r="K94" s="118"/>
      <c r="L94" s="118"/>
      <c r="M94" s="118"/>
      <c r="N94" s="118"/>
      <c r="O94" s="118"/>
      <c r="P94" s="118"/>
      <c r="Q94" s="118"/>
      <c r="R94" s="118"/>
      <c r="S94" s="118"/>
      <c r="T94" s="118"/>
      <c r="U94" s="118"/>
      <c r="V94" s="118"/>
      <c r="W94" s="118"/>
      <c r="X94" s="118"/>
      <c r="Y94" s="118"/>
      <c r="Z94" s="118"/>
      <c r="AA94" s="118"/>
      <c r="AB94" s="118"/>
      <c r="AC94" s="118"/>
    </row>
    <row r="95" spans="1:29" ht="12.75" customHeight="1">
      <c r="A95" s="119">
        <f>A93+1</f>
        <v>72</v>
      </c>
      <c r="B95" s="129" t="s">
        <v>488</v>
      </c>
      <c r="C95" s="115" t="s">
        <v>487</v>
      </c>
      <c r="D95" s="118">
        <v>651412</v>
      </c>
      <c r="E95" s="118"/>
      <c r="F95" s="117"/>
      <c r="G95" s="121"/>
      <c r="H95" s="124"/>
      <c r="I95" s="118"/>
      <c r="J95" s="118"/>
      <c r="K95" s="118"/>
      <c r="L95" s="118"/>
      <c r="M95" s="118"/>
      <c r="N95" s="118"/>
      <c r="O95" s="118"/>
      <c r="P95" s="118"/>
      <c r="Q95" s="118"/>
      <c r="R95" s="118"/>
      <c r="S95" s="118"/>
      <c r="T95" s="118"/>
      <c r="U95" s="118"/>
      <c r="V95" s="118"/>
      <c r="W95" s="118"/>
      <c r="X95" s="118"/>
      <c r="Y95" s="118"/>
      <c r="Z95" s="118"/>
      <c r="AA95" s="118"/>
      <c r="AB95" s="118"/>
      <c r="AC95" s="118"/>
    </row>
    <row r="96" spans="1:29" ht="13.2">
      <c r="A96" s="119">
        <f t="shared" ref="A96:A101" si="2">A95+1</f>
        <v>73</v>
      </c>
      <c r="B96" s="127" t="s">
        <v>486</v>
      </c>
      <c r="C96" s="115" t="s">
        <v>485</v>
      </c>
      <c r="D96" s="118">
        <v>82429145</v>
      </c>
      <c r="E96" s="118"/>
      <c r="F96" s="117"/>
      <c r="G96" s="121"/>
      <c r="H96" s="124"/>
      <c r="I96" s="118"/>
      <c r="J96" s="118"/>
      <c r="K96" s="118"/>
      <c r="L96" s="118"/>
      <c r="M96" s="118"/>
      <c r="N96" s="118"/>
      <c r="O96" s="118"/>
      <c r="P96" s="118"/>
      <c r="Q96" s="118"/>
      <c r="R96" s="118"/>
      <c r="S96" s="118"/>
      <c r="T96" s="118"/>
      <c r="U96" s="118"/>
      <c r="V96" s="118"/>
      <c r="W96" s="118"/>
      <c r="X96" s="118"/>
      <c r="Y96" s="118"/>
      <c r="Z96" s="118"/>
      <c r="AA96" s="118"/>
      <c r="AB96" s="118"/>
      <c r="AC96" s="118"/>
    </row>
    <row r="97" spans="1:29" ht="13.2">
      <c r="A97" s="119">
        <f t="shared" si="2"/>
        <v>74</v>
      </c>
      <c r="B97" s="132" t="s">
        <v>370</v>
      </c>
      <c r="C97" s="115" t="s">
        <v>369</v>
      </c>
      <c r="D97" s="204">
        <f>-'WP 15'!H60</f>
        <v>986620.32999999984</v>
      </c>
      <c r="E97" s="118"/>
      <c r="F97" s="117"/>
      <c r="G97" s="121"/>
      <c r="H97" s="124"/>
      <c r="I97" s="118"/>
      <c r="J97" s="118"/>
      <c r="K97" s="118"/>
      <c r="L97" s="118"/>
      <c r="M97" s="118"/>
      <c r="N97" s="118"/>
      <c r="O97" s="118"/>
      <c r="P97" s="118"/>
      <c r="Q97" s="118"/>
      <c r="R97" s="118"/>
      <c r="S97" s="118"/>
      <c r="T97" s="118"/>
      <c r="U97" s="118"/>
      <c r="V97" s="118"/>
      <c r="W97" s="118"/>
      <c r="X97" s="118"/>
      <c r="Y97" s="118"/>
      <c r="Z97" s="118"/>
      <c r="AA97" s="118"/>
      <c r="AB97" s="118"/>
      <c r="AC97" s="118"/>
    </row>
    <row r="98" spans="1:29" ht="13.2">
      <c r="A98" s="119">
        <f t="shared" si="2"/>
        <v>75</v>
      </c>
      <c r="B98" s="132" t="s">
        <v>368</v>
      </c>
      <c r="C98" s="115" t="s">
        <v>367</v>
      </c>
      <c r="D98" s="205">
        <f>'WP 16'!F57</f>
        <v>7180706.0900000008</v>
      </c>
      <c r="E98" s="118"/>
      <c r="F98" s="117"/>
      <c r="G98" s="121"/>
      <c r="H98" s="124"/>
      <c r="I98" s="118"/>
      <c r="J98" s="118"/>
      <c r="K98" s="118"/>
      <c r="L98" s="118"/>
      <c r="M98" s="118"/>
      <c r="N98" s="118"/>
      <c r="O98" s="118"/>
      <c r="P98" s="118"/>
      <c r="Q98" s="118"/>
      <c r="R98" s="118"/>
      <c r="S98" s="118"/>
      <c r="T98" s="118"/>
      <c r="U98" s="118"/>
      <c r="V98" s="118"/>
      <c r="W98" s="118"/>
      <c r="X98" s="118"/>
      <c r="Y98" s="118"/>
      <c r="Z98" s="118"/>
      <c r="AA98" s="118"/>
      <c r="AB98" s="118"/>
      <c r="AC98" s="118"/>
    </row>
    <row r="99" spans="1:29" ht="13.2">
      <c r="A99" s="119">
        <f t="shared" si="2"/>
        <v>76</v>
      </c>
      <c r="B99" s="132"/>
      <c r="D99" s="130"/>
      <c r="E99" s="118"/>
      <c r="F99" s="117"/>
      <c r="G99" s="121"/>
      <c r="H99" s="124"/>
      <c r="I99" s="118"/>
      <c r="J99" s="118"/>
      <c r="K99" s="118"/>
      <c r="L99" s="118"/>
      <c r="M99" s="118"/>
      <c r="N99" s="118"/>
      <c r="O99" s="118"/>
      <c r="P99" s="118"/>
      <c r="Q99" s="118"/>
      <c r="R99" s="118"/>
      <c r="S99" s="118"/>
      <c r="T99" s="118"/>
      <c r="U99" s="118"/>
      <c r="V99" s="118"/>
      <c r="W99" s="118"/>
      <c r="X99" s="118"/>
      <c r="Y99" s="118"/>
      <c r="Z99" s="118"/>
      <c r="AA99" s="118"/>
      <c r="AB99" s="118"/>
      <c r="AC99" s="118"/>
    </row>
    <row r="100" spans="1:29" ht="12.75" customHeight="1">
      <c r="A100" s="119">
        <f t="shared" si="2"/>
        <v>77</v>
      </c>
      <c r="B100" s="127" t="s">
        <v>483</v>
      </c>
      <c r="C100" s="115" t="str">
        <f>"Ln"&amp;A96&amp;" - "&amp;"Ln"&amp;A97&amp;" - "&amp;"Ln"&amp;A98&amp;" - "&amp;"Ln"&amp;A99</f>
        <v>Ln73 - Ln74 - Ln75 - Ln76</v>
      </c>
      <c r="D100" s="118">
        <f>D96-D97-D98-D99</f>
        <v>74261818.579999998</v>
      </c>
      <c r="E100" s="118"/>
      <c r="F100" s="117"/>
      <c r="G100" s="121"/>
      <c r="H100" s="124"/>
      <c r="I100" s="118"/>
      <c r="J100" s="118"/>
      <c r="K100" s="118"/>
      <c r="L100" s="118"/>
      <c r="M100" s="118"/>
      <c r="N100" s="118"/>
      <c r="O100" s="118"/>
      <c r="P100" s="118"/>
      <c r="Q100" s="118"/>
      <c r="R100" s="118"/>
      <c r="S100" s="118"/>
      <c r="T100" s="118"/>
      <c r="U100" s="118"/>
      <c r="V100" s="118"/>
      <c r="W100" s="118"/>
      <c r="X100" s="118"/>
      <c r="Y100" s="118"/>
      <c r="Z100" s="118"/>
      <c r="AA100" s="118"/>
      <c r="AB100" s="118"/>
      <c r="AC100" s="118"/>
    </row>
    <row r="101" spans="1:29" ht="12.75" customHeight="1">
      <c r="A101" s="119">
        <f t="shared" si="2"/>
        <v>78</v>
      </c>
      <c r="B101" s="129" t="s">
        <v>482</v>
      </c>
      <c r="C101" s="115" t="s">
        <v>481</v>
      </c>
      <c r="D101" s="118">
        <v>305221</v>
      </c>
      <c r="E101" s="118"/>
      <c r="F101" s="117"/>
      <c r="G101" s="121"/>
      <c r="H101" s="124"/>
      <c r="I101" s="118"/>
      <c r="J101" s="118"/>
      <c r="K101" s="118"/>
      <c r="L101" s="118"/>
      <c r="M101" s="118"/>
      <c r="N101" s="118"/>
      <c r="O101" s="118"/>
      <c r="P101" s="118"/>
      <c r="Q101" s="118"/>
      <c r="R101" s="118"/>
      <c r="S101" s="118"/>
      <c r="T101" s="118"/>
      <c r="U101" s="118"/>
      <c r="V101" s="118"/>
      <c r="W101" s="118"/>
      <c r="X101" s="118"/>
      <c r="Y101" s="118"/>
      <c r="Z101" s="118"/>
      <c r="AA101" s="118"/>
      <c r="AB101" s="118"/>
      <c r="AC101" s="118"/>
    </row>
    <row r="102" spans="1:29" ht="3" customHeight="1">
      <c r="A102" s="119"/>
      <c r="B102" s="131"/>
      <c r="D102" s="118"/>
      <c r="E102" s="118"/>
      <c r="F102" s="117"/>
      <c r="G102" s="121"/>
      <c r="H102" s="124"/>
      <c r="I102" s="118"/>
      <c r="J102" s="118"/>
      <c r="K102" s="118"/>
      <c r="L102" s="118"/>
      <c r="M102" s="118"/>
      <c r="N102" s="118"/>
      <c r="O102" s="118"/>
      <c r="P102" s="118"/>
      <c r="Q102" s="118"/>
      <c r="R102" s="118"/>
      <c r="S102" s="118"/>
      <c r="T102" s="118"/>
      <c r="U102" s="118"/>
      <c r="V102" s="118"/>
      <c r="W102" s="118"/>
      <c r="X102" s="118"/>
      <c r="Y102" s="118"/>
      <c r="Z102" s="118"/>
      <c r="AA102" s="118"/>
      <c r="AB102" s="118"/>
      <c r="AC102" s="118"/>
    </row>
    <row r="103" spans="1:29" ht="12.75" customHeight="1">
      <c r="A103" s="119">
        <f>A101+1</f>
        <v>79</v>
      </c>
      <c r="B103" s="136" t="s">
        <v>480</v>
      </c>
      <c r="C103" s="115" t="s">
        <v>703</v>
      </c>
      <c r="D103" s="118">
        <v>77861</v>
      </c>
      <c r="E103" s="118"/>
      <c r="F103" s="117"/>
      <c r="G103" s="121"/>
      <c r="H103" s="124"/>
      <c r="I103" s="118"/>
      <c r="J103" s="118"/>
      <c r="K103" s="118"/>
      <c r="L103" s="118"/>
      <c r="M103" s="118"/>
      <c r="N103" s="118"/>
      <c r="O103" s="118"/>
      <c r="P103" s="118"/>
      <c r="Q103" s="118"/>
      <c r="R103" s="118"/>
      <c r="S103" s="118"/>
      <c r="T103" s="118"/>
      <c r="U103" s="118"/>
      <c r="V103" s="118"/>
      <c r="W103" s="118"/>
      <c r="X103" s="118"/>
      <c r="Y103" s="118"/>
      <c r="Z103" s="118"/>
      <c r="AA103" s="118"/>
      <c r="AB103" s="118"/>
      <c r="AC103" s="118"/>
    </row>
    <row r="104" spans="1:29" ht="12.75" customHeight="1">
      <c r="A104" s="119">
        <f t="shared" ref="A104:A115" si="3">A103+1</f>
        <v>80</v>
      </c>
      <c r="B104" s="137" t="s">
        <v>137</v>
      </c>
      <c r="C104" s="126" t="s">
        <v>479</v>
      </c>
      <c r="D104" s="130">
        <f>+'WP 4'!F21</f>
        <v>157875.96000000002</v>
      </c>
      <c r="E104" s="118"/>
      <c r="F104" s="117"/>
      <c r="G104" s="121"/>
      <c r="H104" s="124"/>
      <c r="I104" s="118"/>
      <c r="J104" s="118"/>
      <c r="K104" s="118"/>
      <c r="L104" s="118"/>
      <c r="M104" s="118"/>
      <c r="N104" s="118"/>
      <c r="O104" s="118"/>
      <c r="P104" s="118"/>
      <c r="Q104" s="118"/>
      <c r="R104" s="118"/>
      <c r="S104" s="118"/>
      <c r="T104" s="118"/>
      <c r="U104" s="118"/>
      <c r="V104" s="118"/>
      <c r="W104" s="118"/>
      <c r="X104" s="118"/>
      <c r="Y104" s="118"/>
      <c r="Z104" s="118"/>
      <c r="AA104" s="118"/>
      <c r="AB104" s="118"/>
      <c r="AC104" s="118"/>
    </row>
    <row r="105" spans="1:29" ht="12.75" customHeight="1">
      <c r="A105" s="119">
        <f t="shared" si="3"/>
        <v>81</v>
      </c>
      <c r="B105" s="132" t="s">
        <v>478</v>
      </c>
      <c r="C105" s="115" t="str">
        <f>"Ln"&amp;A103&amp;" + "&amp;"Ln"&amp;A104&amp;""</f>
        <v>Ln79 + Ln80</v>
      </c>
      <c r="D105" s="118">
        <f>D103+D104</f>
        <v>235736.96000000002</v>
      </c>
      <c r="E105" s="118"/>
      <c r="F105" s="117"/>
      <c r="G105" s="144"/>
      <c r="H105" s="124"/>
      <c r="I105" s="118"/>
      <c r="J105" s="118"/>
      <c r="K105" s="118"/>
      <c r="L105" s="118"/>
      <c r="M105" s="118"/>
      <c r="N105" s="118"/>
      <c r="O105" s="118"/>
      <c r="P105" s="118"/>
      <c r="Q105" s="118"/>
      <c r="R105" s="118"/>
      <c r="S105" s="118"/>
      <c r="T105" s="118"/>
      <c r="U105" s="118"/>
      <c r="V105" s="118"/>
      <c r="W105" s="118"/>
      <c r="X105" s="118"/>
      <c r="Y105" s="118"/>
      <c r="Z105" s="118"/>
      <c r="AA105" s="118"/>
      <c r="AB105" s="118"/>
      <c r="AC105" s="118"/>
    </row>
    <row r="106" spans="1:29" ht="12.75" customHeight="1">
      <c r="A106" s="119">
        <f t="shared" si="3"/>
        <v>82</v>
      </c>
      <c r="B106" s="132" t="s">
        <v>477</v>
      </c>
      <c r="C106" s="115" t="s">
        <v>476</v>
      </c>
      <c r="D106" s="118">
        <v>681456</v>
      </c>
      <c r="E106" s="118"/>
      <c r="F106" s="117"/>
      <c r="G106" s="144"/>
      <c r="H106" s="124"/>
      <c r="I106" s="118"/>
      <c r="J106" s="118"/>
      <c r="K106" s="118"/>
      <c r="L106" s="118"/>
      <c r="M106" s="118"/>
      <c r="N106" s="118"/>
      <c r="O106" s="118"/>
      <c r="P106" s="118"/>
      <c r="Q106" s="118"/>
      <c r="R106" s="118"/>
      <c r="S106" s="118"/>
      <c r="T106" s="118"/>
      <c r="U106" s="118"/>
      <c r="V106" s="118"/>
      <c r="W106" s="118"/>
      <c r="X106" s="118"/>
      <c r="Y106" s="118"/>
      <c r="Z106" s="118"/>
      <c r="AA106" s="118"/>
      <c r="AB106" s="118"/>
      <c r="AC106" s="118"/>
    </row>
    <row r="107" spans="1:29" ht="13.2">
      <c r="A107" s="119">
        <f t="shared" si="3"/>
        <v>83</v>
      </c>
      <c r="B107" s="136" t="s">
        <v>370</v>
      </c>
      <c r="C107" s="115" t="s">
        <v>369</v>
      </c>
      <c r="D107" s="204">
        <f>-'WP 15'!H45</f>
        <v>-3559.7</v>
      </c>
      <c r="E107" s="138"/>
      <c r="F107" s="117"/>
      <c r="G107" s="125"/>
      <c r="H107" s="124"/>
      <c r="I107" s="118"/>
      <c r="J107" s="118"/>
      <c r="K107" s="118"/>
      <c r="L107" s="118"/>
      <c r="M107" s="118"/>
      <c r="N107" s="118"/>
      <c r="O107" s="118"/>
      <c r="P107" s="118"/>
      <c r="Q107" s="118"/>
      <c r="R107" s="118"/>
      <c r="S107" s="118"/>
      <c r="T107" s="118"/>
      <c r="U107" s="118"/>
      <c r="V107" s="118"/>
      <c r="W107" s="118"/>
      <c r="X107" s="118"/>
      <c r="Y107" s="118"/>
      <c r="Z107" s="118"/>
      <c r="AA107" s="118"/>
      <c r="AB107" s="118"/>
      <c r="AC107" s="118"/>
    </row>
    <row r="108" spans="1:29" ht="13.2">
      <c r="A108" s="119">
        <f t="shared" si="3"/>
        <v>84</v>
      </c>
      <c r="B108" s="136" t="s">
        <v>368</v>
      </c>
      <c r="C108" s="115" t="s">
        <v>367</v>
      </c>
      <c r="D108" s="205">
        <f>'WP 16'!F51</f>
        <v>2724.91</v>
      </c>
      <c r="E108" s="138"/>
      <c r="F108" s="117"/>
      <c r="G108" s="125"/>
      <c r="H108" s="124"/>
      <c r="I108" s="118"/>
      <c r="J108" s="118"/>
      <c r="K108" s="118"/>
      <c r="L108" s="118"/>
      <c r="M108" s="118"/>
      <c r="N108" s="118"/>
      <c r="O108" s="118"/>
      <c r="P108" s="118"/>
      <c r="Q108" s="118"/>
      <c r="R108" s="118"/>
      <c r="S108" s="118"/>
      <c r="T108" s="118"/>
      <c r="U108" s="118"/>
      <c r="V108" s="118"/>
      <c r="W108" s="118"/>
      <c r="X108" s="118"/>
      <c r="Y108" s="118"/>
      <c r="Z108" s="118"/>
      <c r="AA108" s="118"/>
      <c r="AB108" s="118"/>
      <c r="AC108" s="118"/>
    </row>
    <row r="109" spans="1:29" ht="12.75" customHeight="1">
      <c r="A109" s="119">
        <f t="shared" si="3"/>
        <v>85</v>
      </c>
      <c r="B109" s="132" t="s">
        <v>475</v>
      </c>
      <c r="C109" s="126" t="str">
        <f>C101</f>
        <v>350.3.b</v>
      </c>
      <c r="D109" s="130">
        <f>D101</f>
        <v>305221</v>
      </c>
      <c r="E109" s="118"/>
      <c r="F109" s="117"/>
      <c r="G109" s="144"/>
      <c r="H109" s="124"/>
      <c r="I109" s="118"/>
      <c r="J109" s="118"/>
      <c r="K109" s="118"/>
      <c r="L109" s="118"/>
      <c r="M109" s="118"/>
      <c r="N109" s="118"/>
      <c r="O109" s="118"/>
      <c r="P109" s="118"/>
      <c r="Q109" s="118"/>
      <c r="R109" s="118"/>
      <c r="S109" s="118"/>
      <c r="T109" s="118"/>
      <c r="U109" s="118"/>
      <c r="V109" s="118"/>
      <c r="W109" s="118"/>
      <c r="X109" s="118"/>
      <c r="Y109" s="118"/>
      <c r="Z109" s="118"/>
      <c r="AA109" s="118"/>
      <c r="AB109" s="118"/>
      <c r="AC109" s="118"/>
    </row>
    <row r="110" spans="1:29" ht="12.75" customHeight="1">
      <c r="A110" s="119">
        <f t="shared" si="3"/>
        <v>86</v>
      </c>
      <c r="B110" s="132" t="s">
        <v>474</v>
      </c>
      <c r="C110" s="115" t="str">
        <f>"Ln"&amp;A106&amp;" - "&amp;"Ln"&amp;A107&amp;" - "&amp;"Ln"&amp;A108&amp;" - "&amp;"Ln"&amp;A109</f>
        <v>Ln82 - Ln83 - Ln84 - Ln85</v>
      </c>
      <c r="D110" s="118">
        <f>D106-D107-D108-D109</f>
        <v>377069.78999999992</v>
      </c>
      <c r="E110" s="118"/>
      <c r="F110" s="117"/>
      <c r="G110" s="144"/>
      <c r="H110" s="124"/>
      <c r="I110" s="118"/>
      <c r="J110" s="118"/>
      <c r="K110" s="118"/>
      <c r="L110" s="118"/>
      <c r="M110" s="118"/>
      <c r="N110" s="118"/>
      <c r="O110" s="118"/>
      <c r="P110" s="118"/>
      <c r="Q110" s="118"/>
      <c r="R110" s="118"/>
      <c r="S110" s="118"/>
      <c r="T110" s="118"/>
      <c r="U110" s="118"/>
      <c r="V110" s="118"/>
      <c r="W110" s="118"/>
      <c r="X110" s="118"/>
      <c r="Y110" s="118"/>
      <c r="Z110" s="118"/>
      <c r="AA110" s="118"/>
      <c r="AB110" s="118"/>
      <c r="AC110" s="118"/>
    </row>
    <row r="111" spans="1:29" ht="13.2">
      <c r="A111" s="119">
        <f t="shared" si="3"/>
        <v>87</v>
      </c>
      <c r="B111" s="132" t="s">
        <v>473</v>
      </c>
      <c r="C111" s="115" t="s">
        <v>472</v>
      </c>
      <c r="D111" s="124">
        <v>218755</v>
      </c>
      <c r="E111" s="118"/>
      <c r="F111" s="117"/>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row>
    <row r="112" spans="1:29" ht="13.2">
      <c r="A112" s="119">
        <f t="shared" si="3"/>
        <v>88</v>
      </c>
      <c r="B112" s="136" t="s">
        <v>370</v>
      </c>
      <c r="C112" s="115" t="s">
        <v>369</v>
      </c>
      <c r="D112" s="205">
        <f>-'WP 15'!H46</f>
        <v>-659.24</v>
      </c>
      <c r="E112" s="118"/>
      <c r="F112" s="117"/>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row>
    <row r="113" spans="1:29" ht="13.2">
      <c r="A113" s="119">
        <f t="shared" si="3"/>
        <v>89</v>
      </c>
      <c r="B113" s="136" t="s">
        <v>368</v>
      </c>
      <c r="C113" s="115" t="s">
        <v>367</v>
      </c>
      <c r="D113" s="206">
        <f>'WP 16'!F52</f>
        <v>3726.34</v>
      </c>
      <c r="E113" s="118"/>
      <c r="F113" s="117"/>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row>
    <row r="114" spans="1:29" ht="12.75" customHeight="1">
      <c r="A114" s="119">
        <f t="shared" si="3"/>
        <v>90</v>
      </c>
      <c r="B114" s="132" t="s">
        <v>471</v>
      </c>
      <c r="C114" s="126" t="str">
        <f>"Ln"&amp;A111&amp;" - "&amp;"Ln"&amp;A112&amp;" - "&amp;"Ln"&amp;A113</f>
        <v>Ln87 - Ln88 - Ln89</v>
      </c>
      <c r="D114" s="124">
        <f>D111-D112-D113</f>
        <v>215687.9</v>
      </c>
      <c r="E114" s="118"/>
      <c r="F114" s="117"/>
      <c r="G114" s="114"/>
      <c r="I114" s="118"/>
      <c r="J114" s="118"/>
      <c r="K114" s="118"/>
      <c r="L114" s="118"/>
      <c r="M114" s="118"/>
      <c r="N114" s="118"/>
      <c r="O114" s="118"/>
      <c r="P114" s="118"/>
      <c r="Q114" s="118"/>
      <c r="R114" s="118"/>
      <c r="S114" s="118"/>
      <c r="T114" s="118"/>
      <c r="U114" s="118"/>
      <c r="V114" s="118"/>
      <c r="W114" s="118"/>
      <c r="X114" s="118"/>
      <c r="Y114" s="118"/>
      <c r="Z114" s="118"/>
      <c r="AA114" s="118"/>
      <c r="AB114" s="118"/>
      <c r="AC114" s="118"/>
    </row>
    <row r="115" spans="1:29" ht="12.75" customHeight="1">
      <c r="A115" s="119">
        <f t="shared" si="3"/>
        <v>91</v>
      </c>
      <c r="B115" s="129" t="s">
        <v>470</v>
      </c>
      <c r="C115" s="126" t="str">
        <f>"Ln"&amp;A105&amp;" + "&amp;"Ln"&amp;A110&amp;" + "&amp;"Ln"&amp;A114</f>
        <v>Ln81 + Ln86 + Ln90</v>
      </c>
      <c r="D115" s="118">
        <f>D105+D110+D114</f>
        <v>828494.65</v>
      </c>
      <c r="E115" s="118"/>
      <c r="F115" s="117"/>
      <c r="G115" s="114"/>
      <c r="I115" s="118"/>
      <c r="J115" s="118"/>
      <c r="K115" s="118"/>
      <c r="L115" s="118"/>
      <c r="M115" s="118"/>
      <c r="N115" s="118"/>
      <c r="O115" s="118"/>
      <c r="P115" s="118"/>
      <c r="Q115" s="118"/>
      <c r="R115" s="118"/>
      <c r="S115" s="118"/>
      <c r="T115" s="118"/>
      <c r="U115" s="118"/>
      <c r="V115" s="118"/>
      <c r="W115" s="118"/>
      <c r="X115" s="118"/>
      <c r="Y115" s="118"/>
      <c r="Z115" s="118"/>
      <c r="AA115" s="118"/>
      <c r="AB115" s="118"/>
      <c r="AC115" s="118"/>
    </row>
    <row r="116" spans="1:29" ht="12.75" customHeight="1">
      <c r="A116" s="119"/>
      <c r="B116" s="126"/>
      <c r="D116" s="118"/>
      <c r="E116" s="118"/>
      <c r="F116" s="117"/>
      <c r="G116" s="114"/>
      <c r="I116" s="118"/>
      <c r="J116" s="118"/>
      <c r="K116" s="118"/>
      <c r="L116" s="118"/>
      <c r="M116" s="118"/>
      <c r="N116" s="118"/>
      <c r="O116" s="118"/>
      <c r="P116" s="118"/>
      <c r="Q116" s="118"/>
      <c r="R116" s="118"/>
      <c r="S116" s="118"/>
      <c r="T116" s="118"/>
      <c r="U116" s="118"/>
      <c r="V116" s="118"/>
      <c r="W116" s="118"/>
      <c r="X116" s="118"/>
      <c r="Y116" s="118"/>
      <c r="Z116" s="118"/>
      <c r="AA116" s="118"/>
      <c r="AB116" s="118"/>
      <c r="AC116" s="118"/>
    </row>
    <row r="117" spans="1:29" ht="12.75" customHeight="1">
      <c r="A117" s="119">
        <f>A115+1</f>
        <v>92</v>
      </c>
      <c r="B117" s="115" t="s">
        <v>469</v>
      </c>
      <c r="C117" s="114"/>
      <c r="D117" s="118"/>
      <c r="E117" s="118"/>
      <c r="F117" s="117"/>
      <c r="G117" s="114"/>
      <c r="I117" s="118"/>
      <c r="J117" s="118"/>
      <c r="K117" s="118"/>
      <c r="L117" s="118"/>
      <c r="M117" s="118"/>
      <c r="N117" s="118"/>
      <c r="O117" s="118"/>
      <c r="P117" s="118"/>
      <c r="Q117" s="118"/>
      <c r="R117" s="118"/>
      <c r="S117" s="118"/>
      <c r="T117" s="118"/>
      <c r="U117" s="118"/>
      <c r="V117" s="118"/>
      <c r="W117" s="118"/>
      <c r="X117" s="118"/>
      <c r="Y117" s="118"/>
      <c r="Z117" s="118"/>
      <c r="AA117" s="118"/>
      <c r="AB117" s="118"/>
      <c r="AC117" s="118"/>
    </row>
    <row r="118" spans="1:29" ht="12.75" customHeight="1">
      <c r="A118" s="119">
        <f t="shared" ref="A118:A122" si="4">A117+1</f>
        <v>93</v>
      </c>
      <c r="B118" s="132" t="s">
        <v>468</v>
      </c>
      <c r="C118" s="126" t="s">
        <v>649</v>
      </c>
      <c r="D118" s="118">
        <v>1404</v>
      </c>
      <c r="E118" s="118"/>
      <c r="F118" s="117"/>
      <c r="G118" s="114"/>
      <c r="I118" s="118"/>
      <c r="J118" s="118"/>
      <c r="K118" s="118"/>
      <c r="L118" s="118"/>
      <c r="M118" s="118"/>
      <c r="N118" s="118"/>
      <c r="O118" s="118"/>
      <c r="P118" s="118"/>
      <c r="Q118" s="118"/>
      <c r="R118" s="118"/>
      <c r="S118" s="118"/>
      <c r="T118" s="118"/>
      <c r="U118" s="118"/>
      <c r="V118" s="118"/>
      <c r="W118" s="118"/>
      <c r="X118" s="118"/>
      <c r="Y118" s="118"/>
      <c r="Z118" s="118"/>
      <c r="AA118" s="118"/>
      <c r="AB118" s="118"/>
      <c r="AC118" s="118"/>
    </row>
    <row r="119" spans="1:29" ht="12.75" customHeight="1">
      <c r="A119" s="119">
        <f t="shared" si="4"/>
        <v>94</v>
      </c>
      <c r="B119" s="131" t="s">
        <v>467</v>
      </c>
      <c r="C119" s="115" t="s">
        <v>652</v>
      </c>
      <c r="D119" s="130">
        <v>-4072</v>
      </c>
      <c r="E119" s="118"/>
      <c r="F119" s="117"/>
      <c r="G119" s="114"/>
      <c r="I119" s="118"/>
      <c r="J119" s="118"/>
      <c r="K119" s="118"/>
      <c r="L119" s="118"/>
      <c r="M119" s="118"/>
      <c r="N119" s="118"/>
      <c r="O119" s="118"/>
      <c r="P119" s="118"/>
      <c r="Q119" s="118"/>
      <c r="R119" s="118"/>
      <c r="S119" s="118"/>
      <c r="T119" s="118"/>
      <c r="U119" s="118"/>
      <c r="V119" s="118"/>
      <c r="W119" s="118"/>
      <c r="X119" s="118"/>
      <c r="Y119" s="118"/>
      <c r="Z119" s="118"/>
      <c r="AA119" s="118"/>
      <c r="AB119" s="118"/>
      <c r="AC119" s="118"/>
    </row>
    <row r="120" spans="1:29" ht="12.75" customHeight="1">
      <c r="A120" s="119">
        <v>95</v>
      </c>
      <c r="B120" s="129" t="s">
        <v>466</v>
      </c>
      <c r="C120" s="126" t="str">
        <f>"Ln"&amp;A118&amp;" + "&amp;"Ln"&amp;A119&amp;" "</f>
        <v xml:space="preserve">Ln93 + Ln94 </v>
      </c>
      <c r="D120" s="118">
        <f>D118+D119</f>
        <v>-2668</v>
      </c>
      <c r="E120" s="118"/>
      <c r="F120" s="117"/>
      <c r="G120" s="114"/>
      <c r="I120" s="118"/>
      <c r="J120" s="118"/>
      <c r="K120" s="118"/>
      <c r="L120" s="118"/>
      <c r="M120" s="118"/>
      <c r="N120" s="118"/>
      <c r="O120" s="118"/>
      <c r="P120" s="118"/>
      <c r="Q120" s="118"/>
      <c r="R120" s="118"/>
      <c r="S120" s="118"/>
      <c r="T120" s="118"/>
      <c r="U120" s="118"/>
      <c r="V120" s="118"/>
      <c r="W120" s="118"/>
      <c r="X120" s="118"/>
      <c r="Y120" s="118"/>
      <c r="Z120" s="118"/>
      <c r="AA120" s="118"/>
      <c r="AB120" s="118"/>
      <c r="AC120" s="118"/>
    </row>
    <row r="121" spans="1:29" ht="12.75" customHeight="1">
      <c r="A121" s="119">
        <f t="shared" si="4"/>
        <v>96</v>
      </c>
      <c r="B121" s="127" t="s">
        <v>458</v>
      </c>
      <c r="C121" s="143">
        <v>356.1</v>
      </c>
      <c r="D121" s="118">
        <v>0</v>
      </c>
      <c r="E121" s="118"/>
      <c r="F121" s="117"/>
      <c r="G121" s="121"/>
      <c r="H121" s="124"/>
      <c r="I121" s="124"/>
      <c r="J121" s="118"/>
      <c r="K121" s="118"/>
      <c r="L121" s="118"/>
      <c r="M121" s="118"/>
      <c r="N121" s="118"/>
      <c r="O121" s="118"/>
      <c r="P121" s="118"/>
      <c r="Q121" s="118"/>
      <c r="R121" s="118"/>
      <c r="S121" s="118"/>
      <c r="T121" s="118"/>
      <c r="U121" s="118"/>
      <c r="V121" s="118"/>
      <c r="W121" s="118"/>
      <c r="X121" s="118"/>
      <c r="Y121" s="118"/>
      <c r="Z121" s="118"/>
      <c r="AA121" s="118"/>
      <c r="AB121" s="118"/>
      <c r="AC121" s="118"/>
    </row>
    <row r="122" spans="1:29" ht="12.75" customHeight="1">
      <c r="A122" s="119">
        <f t="shared" si="4"/>
        <v>97</v>
      </c>
      <c r="B122" s="127" t="s">
        <v>465</v>
      </c>
      <c r="C122" s="143"/>
      <c r="D122" s="118">
        <v>0</v>
      </c>
      <c r="E122" s="118"/>
      <c r="F122" s="117"/>
      <c r="G122" s="121"/>
      <c r="H122" s="124"/>
      <c r="I122" s="124"/>
      <c r="J122" s="118"/>
      <c r="K122" s="118"/>
      <c r="L122" s="118"/>
      <c r="M122" s="118"/>
      <c r="N122" s="118"/>
      <c r="O122" s="118"/>
      <c r="P122" s="118"/>
      <c r="Q122" s="118"/>
      <c r="R122" s="118"/>
      <c r="S122" s="118"/>
      <c r="T122" s="118"/>
      <c r="U122" s="118"/>
      <c r="V122" s="118"/>
      <c r="W122" s="118"/>
      <c r="X122" s="118"/>
      <c r="Y122" s="118"/>
      <c r="Z122" s="118"/>
      <c r="AA122" s="118"/>
      <c r="AB122" s="118"/>
      <c r="AC122" s="118"/>
    </row>
    <row r="123" spans="1:29" ht="12.75" customHeight="1">
      <c r="A123" s="119"/>
      <c r="D123" s="118"/>
      <c r="E123" s="118"/>
      <c r="F123" s="117"/>
      <c r="G123" s="121"/>
      <c r="H123" s="124"/>
      <c r="I123" s="124"/>
      <c r="J123" s="118"/>
      <c r="K123" s="118"/>
      <c r="L123" s="118"/>
      <c r="M123" s="118"/>
      <c r="N123" s="118"/>
      <c r="O123" s="118"/>
      <c r="P123" s="118"/>
      <c r="Q123" s="118"/>
      <c r="R123" s="118"/>
      <c r="S123" s="118"/>
      <c r="T123" s="118"/>
      <c r="U123" s="118"/>
      <c r="V123" s="118"/>
      <c r="W123" s="118"/>
      <c r="X123" s="118"/>
      <c r="Y123" s="118"/>
      <c r="Z123" s="118"/>
      <c r="AA123" s="118"/>
      <c r="AB123" s="118"/>
      <c r="AC123" s="118"/>
    </row>
    <row r="124" spans="1:29" ht="12.75" customHeight="1">
      <c r="A124" s="119">
        <f>A122+1</f>
        <v>98</v>
      </c>
      <c r="B124" s="126" t="s">
        <v>464</v>
      </c>
      <c r="D124" s="118"/>
      <c r="E124" s="118"/>
      <c r="F124" s="117"/>
      <c r="G124" s="121"/>
      <c r="H124" s="124"/>
      <c r="I124" s="124"/>
      <c r="J124" s="118"/>
      <c r="K124" s="118"/>
      <c r="L124" s="118"/>
      <c r="M124" s="118"/>
      <c r="N124" s="118"/>
      <c r="O124" s="118"/>
      <c r="P124" s="118"/>
      <c r="Q124" s="118"/>
      <c r="R124" s="118"/>
      <c r="S124" s="118"/>
      <c r="T124" s="118"/>
      <c r="U124" s="118"/>
      <c r="V124" s="118"/>
      <c r="W124" s="118"/>
      <c r="X124" s="118"/>
      <c r="Y124" s="118"/>
      <c r="Z124" s="118"/>
      <c r="AA124" s="118"/>
      <c r="AB124" s="118"/>
      <c r="AC124" s="118"/>
    </row>
    <row r="125" spans="1:29" ht="12.75" customHeight="1">
      <c r="A125" s="119">
        <f>A124+1</f>
        <v>99</v>
      </c>
      <c r="B125" s="127" t="s">
        <v>41</v>
      </c>
      <c r="C125" s="115" t="s">
        <v>653</v>
      </c>
      <c r="D125" s="118">
        <v>20111580</v>
      </c>
      <c r="E125" s="118"/>
      <c r="F125" s="117"/>
      <c r="G125" s="121"/>
      <c r="H125" s="124"/>
      <c r="I125" s="124"/>
      <c r="J125" s="118"/>
      <c r="K125" s="118"/>
      <c r="L125" s="118"/>
      <c r="M125" s="118"/>
      <c r="N125" s="118"/>
      <c r="O125" s="118"/>
      <c r="P125" s="118"/>
      <c r="Q125" s="118"/>
      <c r="R125" s="118"/>
      <c r="S125" s="118"/>
      <c r="T125" s="118"/>
      <c r="U125" s="118"/>
      <c r="V125" s="118"/>
      <c r="W125" s="118"/>
      <c r="X125" s="118"/>
      <c r="Y125" s="118"/>
      <c r="Z125" s="118"/>
      <c r="AA125" s="118"/>
      <c r="AB125" s="118"/>
      <c r="AC125" s="118"/>
    </row>
    <row r="126" spans="1:29" ht="3" customHeight="1">
      <c r="A126" s="119"/>
      <c r="B126" s="127"/>
      <c r="D126" s="118"/>
      <c r="E126" s="118"/>
      <c r="F126" s="117"/>
      <c r="G126" s="121"/>
      <c r="H126" s="124"/>
      <c r="I126" s="124"/>
      <c r="J126" s="118"/>
      <c r="K126" s="118"/>
      <c r="L126" s="118"/>
      <c r="M126" s="118"/>
      <c r="N126" s="118"/>
      <c r="O126" s="118"/>
      <c r="P126" s="118"/>
      <c r="Q126" s="118"/>
      <c r="R126" s="118"/>
      <c r="S126" s="118"/>
      <c r="T126" s="118"/>
      <c r="U126" s="118"/>
      <c r="V126" s="118"/>
      <c r="W126" s="118"/>
      <c r="X126" s="118"/>
      <c r="Y126" s="118"/>
      <c r="Z126" s="118"/>
      <c r="AA126" s="118"/>
      <c r="AB126" s="118"/>
      <c r="AC126" s="118"/>
    </row>
    <row r="127" spans="1:29" ht="13.2">
      <c r="A127" s="119">
        <f>A125+1</f>
        <v>100</v>
      </c>
      <c r="B127" s="132" t="s">
        <v>44</v>
      </c>
      <c r="C127" s="126" t="s">
        <v>463</v>
      </c>
      <c r="D127" s="118">
        <v>8282272</v>
      </c>
      <c r="E127" s="118"/>
      <c r="F127" s="117"/>
      <c r="G127" s="121"/>
      <c r="H127" s="124"/>
      <c r="I127" s="124"/>
      <c r="J127" s="118"/>
      <c r="K127" s="118"/>
      <c r="L127" s="118"/>
      <c r="M127" s="118"/>
      <c r="N127" s="118"/>
      <c r="O127" s="118"/>
      <c r="P127" s="118"/>
      <c r="Q127" s="118"/>
      <c r="R127" s="118"/>
      <c r="S127" s="118"/>
      <c r="T127" s="118"/>
      <c r="U127" s="118"/>
      <c r="V127" s="118"/>
      <c r="W127" s="118"/>
      <c r="X127" s="118"/>
      <c r="Y127" s="118"/>
      <c r="Z127" s="118"/>
      <c r="AA127" s="118"/>
      <c r="AB127" s="118"/>
      <c r="AC127" s="118"/>
    </row>
    <row r="128" spans="1:29" ht="13.2">
      <c r="A128" s="119">
        <f>A127+1</f>
        <v>101</v>
      </c>
      <c r="B128" s="136" t="s">
        <v>370</v>
      </c>
      <c r="C128" s="115" t="s">
        <v>369</v>
      </c>
      <c r="D128" s="204">
        <f>-'WP 15'!H54</f>
        <v>438.5</v>
      </c>
      <c r="E128" s="118"/>
      <c r="F128" s="117"/>
      <c r="G128" s="121"/>
      <c r="H128" s="124"/>
      <c r="I128" s="118"/>
      <c r="J128" s="118"/>
      <c r="K128" s="118"/>
      <c r="L128" s="118"/>
      <c r="M128" s="118"/>
      <c r="N128" s="118"/>
      <c r="O128" s="118"/>
      <c r="P128" s="118"/>
      <c r="Q128" s="118"/>
      <c r="R128" s="118"/>
      <c r="S128" s="118"/>
      <c r="T128" s="118"/>
      <c r="U128" s="118"/>
      <c r="V128" s="118"/>
      <c r="W128" s="118"/>
      <c r="X128" s="118"/>
      <c r="Y128" s="118"/>
      <c r="Z128" s="118"/>
      <c r="AA128" s="118"/>
      <c r="AB128" s="118"/>
      <c r="AC128" s="118"/>
    </row>
    <row r="129" spans="1:29" ht="13.2">
      <c r="A129" s="119">
        <f>A128+1</f>
        <v>102</v>
      </c>
      <c r="B129" s="136" t="s">
        <v>368</v>
      </c>
      <c r="C129" s="115" t="s">
        <v>367</v>
      </c>
      <c r="D129" s="206">
        <f>'WP 16'!F18</f>
        <v>203837.09</v>
      </c>
      <c r="E129" s="118"/>
      <c r="F129" s="117"/>
      <c r="G129" s="121"/>
      <c r="H129" s="124"/>
      <c r="I129" s="118"/>
      <c r="J129" s="118"/>
      <c r="K129" s="118"/>
      <c r="L129" s="118"/>
      <c r="M129" s="118"/>
      <c r="N129" s="118"/>
      <c r="O129" s="118"/>
      <c r="P129" s="118"/>
      <c r="Q129" s="118"/>
      <c r="R129" s="118"/>
      <c r="S129" s="118"/>
      <c r="T129" s="118"/>
      <c r="U129" s="118"/>
      <c r="V129" s="118"/>
      <c r="W129" s="118"/>
      <c r="X129" s="118"/>
      <c r="Y129" s="118"/>
      <c r="Z129" s="118"/>
      <c r="AA129" s="118"/>
      <c r="AB129" s="118"/>
      <c r="AC129" s="118"/>
    </row>
    <row r="130" spans="1:29" ht="12.75" customHeight="1">
      <c r="A130" s="119">
        <f>A129+1</f>
        <v>103</v>
      </c>
      <c r="B130" s="132" t="s">
        <v>462</v>
      </c>
      <c r="C130" s="126" t="str">
        <f>"Ln"&amp;A127&amp;" - "&amp;"Ln"&amp;A128&amp;" - "&amp;"Ln"&amp;A129</f>
        <v>Ln100 - Ln101 - Ln102</v>
      </c>
      <c r="D130" s="118">
        <f>D127-D128-D129</f>
        <v>8077996.4100000001</v>
      </c>
      <c r="E130" s="118"/>
      <c r="F130" s="117"/>
      <c r="G130" s="125"/>
      <c r="H130" s="124"/>
      <c r="I130" s="124"/>
      <c r="J130" s="118"/>
      <c r="K130" s="118"/>
      <c r="L130" s="118"/>
      <c r="M130" s="118"/>
      <c r="N130" s="118"/>
      <c r="O130" s="118"/>
      <c r="P130" s="118"/>
      <c r="Q130" s="118"/>
      <c r="R130" s="118"/>
      <c r="S130" s="118"/>
      <c r="T130" s="118"/>
      <c r="U130" s="118"/>
      <c r="V130" s="118"/>
      <c r="W130" s="118"/>
      <c r="X130" s="118"/>
      <c r="Y130" s="118"/>
      <c r="Z130" s="118"/>
      <c r="AA130" s="118"/>
      <c r="AB130" s="118"/>
      <c r="AC130" s="118"/>
    </row>
    <row r="131" spans="1:29" ht="12.75" customHeight="1">
      <c r="A131" s="119">
        <f>A130+1</f>
        <v>104</v>
      </c>
      <c r="B131" s="132" t="s">
        <v>461</v>
      </c>
      <c r="C131" s="115" t="s">
        <v>460</v>
      </c>
      <c r="D131" s="130">
        <v>8237785</v>
      </c>
      <c r="E131" s="118"/>
      <c r="F131" s="117"/>
      <c r="G131" s="121"/>
      <c r="H131" s="124"/>
      <c r="I131" s="124"/>
      <c r="J131" s="118"/>
      <c r="K131" s="118"/>
      <c r="L131" s="118"/>
      <c r="M131" s="118"/>
      <c r="N131" s="118"/>
      <c r="O131" s="118"/>
      <c r="P131" s="118"/>
      <c r="Q131" s="118"/>
      <c r="R131" s="118"/>
      <c r="S131" s="118"/>
      <c r="T131" s="118"/>
      <c r="U131" s="118"/>
      <c r="V131" s="118"/>
      <c r="W131" s="118"/>
      <c r="X131" s="118"/>
      <c r="Y131" s="118"/>
      <c r="Z131" s="118"/>
      <c r="AA131" s="118"/>
      <c r="AB131" s="118"/>
      <c r="AC131" s="118"/>
    </row>
    <row r="132" spans="1:29" ht="12.75" customHeight="1">
      <c r="A132" s="119">
        <f>A131+1</f>
        <v>105</v>
      </c>
      <c r="B132" s="129" t="s">
        <v>459</v>
      </c>
      <c r="C132" s="126" t="str">
        <f>"Ln"&amp;A130&amp;" + "&amp;"Ln"&amp;A131</f>
        <v>Ln103 + Ln104</v>
      </c>
      <c r="D132" s="118">
        <f>SUM(D130:D131)</f>
        <v>16315781.41</v>
      </c>
      <c r="E132" s="118"/>
      <c r="F132" s="117"/>
      <c r="G132" s="121"/>
      <c r="H132" s="124"/>
      <c r="I132" s="124"/>
      <c r="J132" s="118"/>
      <c r="K132" s="118"/>
      <c r="L132" s="118"/>
      <c r="M132" s="118"/>
      <c r="N132" s="118"/>
      <c r="O132" s="118"/>
      <c r="P132" s="118"/>
      <c r="Q132" s="118"/>
      <c r="R132" s="118"/>
      <c r="S132" s="118"/>
      <c r="T132" s="118"/>
      <c r="U132" s="118"/>
      <c r="V132" s="118"/>
      <c r="W132" s="118"/>
      <c r="X132" s="118"/>
      <c r="Y132" s="118"/>
      <c r="Z132" s="118"/>
      <c r="AA132" s="118"/>
      <c r="AB132" s="118"/>
      <c r="AC132" s="118"/>
    </row>
    <row r="133" spans="1:29" ht="3" customHeight="1">
      <c r="A133" s="119"/>
      <c r="B133" s="127"/>
      <c r="D133" s="118"/>
      <c r="E133" s="118"/>
      <c r="F133" s="117"/>
      <c r="G133" s="121"/>
      <c r="H133" s="124"/>
      <c r="I133" s="124"/>
      <c r="J133" s="118"/>
      <c r="K133" s="118"/>
      <c r="L133" s="118"/>
      <c r="M133" s="118"/>
      <c r="N133" s="118"/>
      <c r="O133" s="118"/>
      <c r="P133" s="118"/>
      <c r="Q133" s="118"/>
      <c r="R133" s="118"/>
      <c r="S133" s="118"/>
      <c r="T133" s="118"/>
      <c r="U133" s="118"/>
      <c r="V133" s="118"/>
      <c r="W133" s="118"/>
      <c r="X133" s="118"/>
      <c r="Y133" s="118"/>
      <c r="Z133" s="118"/>
      <c r="AA133" s="118"/>
      <c r="AB133" s="118"/>
      <c r="AC133" s="118"/>
    </row>
    <row r="134" spans="1:29" ht="12.75" customHeight="1">
      <c r="A134" s="119">
        <f>A132+1</f>
        <v>106</v>
      </c>
      <c r="B134" s="127" t="s">
        <v>458</v>
      </c>
      <c r="C134" s="115" t="s">
        <v>654</v>
      </c>
      <c r="D134" s="118">
        <v>0</v>
      </c>
      <c r="E134" s="118"/>
      <c r="F134" s="117"/>
      <c r="G134" s="121"/>
      <c r="H134" s="124"/>
      <c r="I134" s="124"/>
      <c r="J134" s="118"/>
      <c r="K134" s="118"/>
      <c r="L134" s="118"/>
      <c r="M134" s="118"/>
      <c r="N134" s="118"/>
      <c r="O134" s="118"/>
      <c r="P134" s="118"/>
      <c r="Q134" s="118"/>
      <c r="R134" s="118"/>
      <c r="S134" s="118"/>
      <c r="T134" s="118"/>
      <c r="U134" s="118"/>
      <c r="V134" s="118"/>
      <c r="W134" s="118"/>
      <c r="X134" s="118"/>
      <c r="Y134" s="118"/>
      <c r="Z134" s="118"/>
      <c r="AA134" s="118"/>
      <c r="AB134" s="118"/>
      <c r="AC134" s="118"/>
    </row>
    <row r="135" spans="1:29" ht="12.75" customHeight="1">
      <c r="A135" s="119"/>
      <c r="D135" s="118"/>
      <c r="E135" s="118"/>
      <c r="F135" s="117"/>
      <c r="G135" s="121"/>
      <c r="H135" s="124"/>
      <c r="I135" s="124"/>
      <c r="J135" s="118"/>
      <c r="K135" s="118"/>
      <c r="L135" s="118"/>
      <c r="M135" s="118"/>
      <c r="N135" s="118"/>
      <c r="O135" s="118"/>
      <c r="P135" s="118"/>
      <c r="Q135" s="118"/>
      <c r="R135" s="118"/>
      <c r="S135" s="118"/>
      <c r="T135" s="118"/>
      <c r="U135" s="118"/>
      <c r="V135" s="118"/>
      <c r="W135" s="118"/>
      <c r="X135" s="118"/>
      <c r="Y135" s="118"/>
      <c r="Z135" s="118"/>
      <c r="AA135" s="118"/>
      <c r="AB135" s="118"/>
      <c r="AC135" s="118"/>
    </row>
    <row r="136" spans="1:29" ht="12.75" customHeight="1">
      <c r="A136" s="119">
        <f>A134+1</f>
        <v>107</v>
      </c>
      <c r="B136" s="128" t="s">
        <v>457</v>
      </c>
      <c r="C136" s="126"/>
      <c r="D136" s="118"/>
      <c r="E136" s="118"/>
      <c r="F136" s="117"/>
      <c r="G136" s="125"/>
      <c r="H136" s="124"/>
      <c r="I136" s="124"/>
      <c r="J136" s="118"/>
      <c r="K136" s="116"/>
      <c r="L136" s="118"/>
      <c r="M136" s="118"/>
      <c r="N136" s="118"/>
      <c r="O136" s="118"/>
      <c r="P136" s="118"/>
      <c r="Q136" s="118"/>
      <c r="R136" s="118"/>
      <c r="S136" s="118"/>
      <c r="T136" s="118"/>
      <c r="U136" s="118"/>
      <c r="V136" s="118"/>
      <c r="W136" s="118"/>
      <c r="X136" s="118"/>
      <c r="Y136" s="118"/>
      <c r="Z136" s="118"/>
      <c r="AA136" s="118"/>
      <c r="AB136" s="118"/>
      <c r="AC136" s="118"/>
    </row>
    <row r="137" spans="1:29" ht="12.75" customHeight="1">
      <c r="A137" s="119">
        <f t="shared" ref="A137:A171" si="5">A136+1</f>
        <v>108</v>
      </c>
      <c r="B137" s="115" t="s">
        <v>456</v>
      </c>
      <c r="D137" s="118"/>
      <c r="E137" s="118"/>
      <c r="F137" s="117"/>
      <c r="G137" s="121"/>
      <c r="H137" s="124"/>
      <c r="I137" s="124"/>
      <c r="J137" s="118"/>
      <c r="K137" s="118"/>
      <c r="L137" s="118"/>
      <c r="M137" s="118"/>
      <c r="N137" s="118"/>
      <c r="O137" s="118"/>
      <c r="P137" s="118"/>
      <c r="Q137" s="118"/>
      <c r="R137" s="118"/>
      <c r="S137" s="118"/>
      <c r="T137" s="118"/>
      <c r="U137" s="118"/>
      <c r="V137" s="118"/>
      <c r="W137" s="118"/>
      <c r="X137" s="118"/>
      <c r="Y137" s="118"/>
      <c r="Z137" s="118"/>
      <c r="AA137" s="118"/>
      <c r="AB137" s="118"/>
      <c r="AC137" s="118"/>
    </row>
    <row r="138" spans="1:29" ht="12.75" customHeight="1">
      <c r="A138" s="119">
        <f t="shared" si="5"/>
        <v>109</v>
      </c>
      <c r="B138" s="132" t="s">
        <v>182</v>
      </c>
      <c r="D138" s="118"/>
      <c r="E138" s="118"/>
      <c r="F138" s="117"/>
      <c r="G138" s="121"/>
      <c r="H138" s="124"/>
      <c r="I138" s="124"/>
      <c r="J138" s="118"/>
      <c r="K138" s="118"/>
      <c r="L138" s="118"/>
      <c r="M138" s="118"/>
      <c r="N138" s="118"/>
      <c r="O138" s="118"/>
      <c r="P138" s="118"/>
      <c r="Q138" s="118"/>
      <c r="R138" s="118"/>
      <c r="S138" s="118"/>
      <c r="T138" s="118"/>
      <c r="U138" s="118"/>
      <c r="V138" s="118"/>
      <c r="W138" s="118"/>
      <c r="X138" s="118"/>
      <c r="Y138" s="118"/>
      <c r="Z138" s="118"/>
      <c r="AA138" s="118"/>
      <c r="AB138" s="118"/>
      <c r="AC138" s="118"/>
    </row>
    <row r="139" spans="1:29" ht="12.75" customHeight="1">
      <c r="A139" s="119">
        <f t="shared" si="5"/>
        <v>110</v>
      </c>
      <c r="B139" s="140" t="s">
        <v>455</v>
      </c>
      <c r="C139" s="115" t="s">
        <v>454</v>
      </c>
      <c r="D139" s="118">
        <v>3144035</v>
      </c>
      <c r="E139" s="118"/>
      <c r="F139" s="117"/>
      <c r="G139" s="121"/>
      <c r="H139" s="124"/>
      <c r="I139" s="124"/>
      <c r="J139" s="118"/>
      <c r="K139" s="118"/>
      <c r="L139" s="118"/>
      <c r="M139" s="118"/>
      <c r="N139" s="118"/>
      <c r="O139" s="118"/>
      <c r="P139" s="118"/>
      <c r="Q139" s="118"/>
      <c r="R139" s="118"/>
      <c r="S139" s="118"/>
      <c r="T139" s="118"/>
      <c r="U139" s="118"/>
      <c r="V139" s="118"/>
      <c r="W139" s="118"/>
      <c r="X139" s="118"/>
      <c r="Y139" s="118"/>
      <c r="Z139" s="118"/>
      <c r="AA139" s="118"/>
      <c r="AB139" s="118"/>
      <c r="AC139" s="118"/>
    </row>
    <row r="140" spans="1:29" ht="12.75" customHeight="1">
      <c r="A140" s="119">
        <f t="shared" si="5"/>
        <v>111</v>
      </c>
      <c r="B140" s="140" t="s">
        <v>453</v>
      </c>
      <c r="C140" s="115" t="s">
        <v>413</v>
      </c>
      <c r="D140" s="118">
        <f>'WP 12'!I11</f>
        <v>1728435.74</v>
      </c>
      <c r="E140" s="118"/>
      <c r="F140" s="117"/>
      <c r="G140" s="121"/>
      <c r="H140" s="124"/>
      <c r="I140" s="124"/>
      <c r="J140" s="118"/>
      <c r="K140" s="118"/>
      <c r="L140" s="118"/>
      <c r="M140" s="118"/>
      <c r="N140" s="118"/>
      <c r="O140" s="118"/>
      <c r="P140" s="118"/>
      <c r="Q140" s="118"/>
      <c r="R140" s="118"/>
      <c r="S140" s="118"/>
      <c r="T140" s="118"/>
      <c r="U140" s="118"/>
      <c r="V140" s="118"/>
      <c r="W140" s="118"/>
      <c r="X140" s="118"/>
      <c r="Y140" s="118"/>
      <c r="Z140" s="118"/>
      <c r="AA140" s="118"/>
      <c r="AB140" s="118"/>
      <c r="AC140" s="118"/>
    </row>
    <row r="141" spans="1:29" ht="12.75" customHeight="1">
      <c r="A141" s="119">
        <f t="shared" si="5"/>
        <v>112</v>
      </c>
      <c r="B141" s="140" t="s">
        <v>452</v>
      </c>
      <c r="C141" s="115" t="s">
        <v>451</v>
      </c>
      <c r="D141" s="118">
        <v>19748</v>
      </c>
      <c r="E141" s="118"/>
      <c r="F141" s="117"/>
      <c r="G141" s="121"/>
      <c r="H141" s="124"/>
      <c r="I141" s="124"/>
      <c r="J141" s="118"/>
      <c r="K141" s="118"/>
      <c r="L141" s="118"/>
      <c r="M141" s="118"/>
      <c r="N141" s="118"/>
      <c r="O141" s="118"/>
      <c r="P141" s="118"/>
      <c r="Q141" s="118"/>
      <c r="R141" s="118"/>
      <c r="S141" s="118"/>
      <c r="T141" s="118"/>
      <c r="U141" s="118"/>
      <c r="V141" s="118"/>
      <c r="W141" s="118"/>
      <c r="X141" s="118"/>
      <c r="Y141" s="118"/>
      <c r="Z141" s="118"/>
      <c r="AA141" s="118"/>
      <c r="AB141" s="118"/>
      <c r="AC141" s="118"/>
    </row>
    <row r="142" spans="1:29" ht="12.75" customHeight="1">
      <c r="A142" s="119">
        <f t="shared" si="5"/>
        <v>113</v>
      </c>
      <c r="B142" s="140" t="s">
        <v>450</v>
      </c>
      <c r="C142" s="115" t="s">
        <v>449</v>
      </c>
      <c r="D142" s="124">
        <v>36016</v>
      </c>
      <c r="E142" s="118"/>
      <c r="F142" s="117"/>
      <c r="G142" s="121"/>
      <c r="H142" s="124"/>
      <c r="I142" s="124"/>
      <c r="J142" s="118"/>
      <c r="K142" s="118"/>
      <c r="L142" s="118"/>
      <c r="M142" s="118"/>
      <c r="N142" s="118"/>
      <c r="O142" s="118"/>
      <c r="P142" s="118"/>
      <c r="Q142" s="118"/>
      <c r="R142" s="118"/>
      <c r="S142" s="118"/>
      <c r="T142" s="118"/>
      <c r="U142" s="118"/>
      <c r="V142" s="118"/>
      <c r="W142" s="118"/>
      <c r="X142" s="118"/>
      <c r="Y142" s="118"/>
      <c r="Z142" s="118"/>
      <c r="AA142" s="118"/>
      <c r="AB142" s="118"/>
      <c r="AC142" s="118"/>
    </row>
    <row r="143" spans="1:29" ht="13.2">
      <c r="A143" s="119">
        <f t="shared" si="5"/>
        <v>114</v>
      </c>
      <c r="B143" s="141" t="s">
        <v>370</v>
      </c>
      <c r="C143" s="115" t="s">
        <v>369</v>
      </c>
      <c r="D143" s="204">
        <f>'WP 15'!H55</f>
        <v>-66982.77999999997</v>
      </c>
      <c r="E143" s="138"/>
      <c r="F143" s="117"/>
      <c r="G143" s="121"/>
      <c r="H143" s="124"/>
      <c r="I143" s="124"/>
      <c r="J143" s="118"/>
      <c r="K143" s="118"/>
      <c r="L143" s="118"/>
      <c r="M143" s="118"/>
      <c r="N143" s="118"/>
      <c r="O143" s="118"/>
      <c r="P143" s="118"/>
      <c r="Q143" s="118"/>
      <c r="R143" s="118"/>
      <c r="S143" s="118"/>
      <c r="T143" s="118"/>
      <c r="U143" s="118"/>
      <c r="V143" s="118"/>
      <c r="W143" s="118"/>
      <c r="X143" s="118"/>
      <c r="Y143" s="118"/>
      <c r="Z143" s="118"/>
      <c r="AA143" s="118"/>
      <c r="AB143" s="118"/>
      <c r="AC143" s="118"/>
    </row>
    <row r="144" spans="1:29" ht="13.2">
      <c r="A144" s="119">
        <f t="shared" si="5"/>
        <v>115</v>
      </c>
      <c r="B144" s="141" t="s">
        <v>368</v>
      </c>
      <c r="C144" s="115" t="s">
        <v>367</v>
      </c>
      <c r="D144" s="206">
        <f>-'WP 16'!F20</f>
        <v>-89066.45</v>
      </c>
      <c r="E144" s="138"/>
      <c r="F144" s="117"/>
      <c r="G144" s="121"/>
      <c r="H144" s="124"/>
      <c r="I144" s="124"/>
      <c r="J144" s="118"/>
      <c r="K144" s="118"/>
      <c r="L144" s="118"/>
      <c r="M144" s="118"/>
      <c r="N144" s="118"/>
      <c r="O144" s="118"/>
      <c r="P144" s="118"/>
      <c r="Q144" s="118"/>
      <c r="R144" s="118"/>
      <c r="S144" s="118"/>
      <c r="T144" s="118"/>
      <c r="U144" s="118"/>
      <c r="V144" s="118"/>
      <c r="W144" s="118"/>
      <c r="X144" s="118"/>
      <c r="Y144" s="118"/>
      <c r="Z144" s="118"/>
      <c r="AA144" s="118"/>
      <c r="AB144" s="118"/>
      <c r="AC144" s="118"/>
    </row>
    <row r="145" spans="1:29" ht="12.75" customHeight="1">
      <c r="A145" s="119">
        <f t="shared" si="5"/>
        <v>116</v>
      </c>
      <c r="B145" s="127" t="s">
        <v>448</v>
      </c>
      <c r="C145" s="115" t="str">
        <f>"Sum (L"&amp;A139&amp;" - L"&amp;A144&amp;")"</f>
        <v>Sum (L110 - L115)</v>
      </c>
      <c r="D145" s="118">
        <f>SUM(D139:D144)</f>
        <v>4772185.51</v>
      </c>
      <c r="E145" s="118"/>
      <c r="F145" s="117"/>
      <c r="G145" s="125"/>
      <c r="H145" s="124"/>
      <c r="I145" s="124"/>
      <c r="J145" s="118"/>
      <c r="K145" s="118"/>
      <c r="L145" s="118"/>
      <c r="M145" s="118"/>
      <c r="N145" s="118"/>
      <c r="O145" s="118"/>
      <c r="P145" s="118"/>
      <c r="Q145" s="118"/>
      <c r="R145" s="118"/>
      <c r="S145" s="118"/>
      <c r="T145" s="118"/>
      <c r="U145" s="118"/>
      <c r="V145" s="118"/>
      <c r="W145" s="118"/>
      <c r="X145" s="118"/>
      <c r="Y145" s="118"/>
      <c r="Z145" s="118"/>
      <c r="AA145" s="118"/>
      <c r="AB145" s="118"/>
      <c r="AC145" s="118"/>
    </row>
    <row r="146" spans="1:29" ht="12.75" customHeight="1">
      <c r="A146" s="119">
        <f t="shared" si="5"/>
        <v>117</v>
      </c>
      <c r="B146" s="127"/>
      <c r="D146" s="118"/>
      <c r="E146" s="118"/>
      <c r="F146" s="117"/>
      <c r="G146" s="121"/>
      <c r="H146" s="124"/>
      <c r="I146" s="124"/>
      <c r="J146" s="118"/>
      <c r="K146" s="118"/>
      <c r="L146" s="118"/>
      <c r="M146" s="118"/>
      <c r="N146" s="118"/>
      <c r="O146" s="118"/>
      <c r="P146" s="118"/>
      <c r="Q146" s="118"/>
      <c r="R146" s="118"/>
      <c r="S146" s="118"/>
      <c r="T146" s="118"/>
      <c r="U146" s="118"/>
      <c r="V146" s="118"/>
      <c r="W146" s="118"/>
      <c r="X146" s="118"/>
      <c r="Y146" s="118"/>
      <c r="Z146" s="118"/>
      <c r="AA146" s="118"/>
      <c r="AB146" s="118"/>
      <c r="AC146" s="118"/>
    </row>
    <row r="147" spans="1:29" ht="12.75" customHeight="1">
      <c r="A147" s="119">
        <f t="shared" si="5"/>
        <v>118</v>
      </c>
      <c r="B147" s="115" t="s">
        <v>447</v>
      </c>
      <c r="D147" s="118"/>
      <c r="E147" s="118"/>
      <c r="F147" s="117"/>
      <c r="G147" s="121"/>
      <c r="H147" s="124"/>
      <c r="I147" s="124"/>
      <c r="J147" s="118"/>
      <c r="K147" s="118"/>
      <c r="L147" s="118"/>
      <c r="M147" s="118"/>
      <c r="N147" s="118"/>
      <c r="O147" s="118"/>
      <c r="P147" s="118"/>
      <c r="Q147" s="118"/>
      <c r="R147" s="118"/>
      <c r="S147" s="118"/>
      <c r="T147" s="118"/>
      <c r="U147" s="118"/>
      <c r="V147" s="118"/>
      <c r="W147" s="118"/>
      <c r="X147" s="118"/>
      <c r="Y147" s="118"/>
      <c r="Z147" s="118"/>
      <c r="AA147" s="118"/>
      <c r="AB147" s="118"/>
      <c r="AC147" s="118"/>
    </row>
    <row r="148" spans="1:29" ht="12.75" customHeight="1">
      <c r="A148" s="119">
        <f t="shared" si="5"/>
        <v>119</v>
      </c>
      <c r="B148" s="131" t="s">
        <v>446</v>
      </c>
      <c r="D148" s="118"/>
      <c r="E148" s="118"/>
      <c r="F148" s="117"/>
      <c r="G148" s="121"/>
      <c r="H148" s="124"/>
      <c r="I148" s="124"/>
      <c r="J148" s="118"/>
      <c r="K148" s="118"/>
      <c r="L148" s="118"/>
      <c r="M148" s="118"/>
      <c r="N148" s="118"/>
      <c r="O148" s="118"/>
      <c r="P148" s="118"/>
      <c r="Q148" s="118"/>
      <c r="R148" s="118"/>
      <c r="S148" s="118"/>
      <c r="T148" s="118"/>
      <c r="U148" s="118"/>
      <c r="V148" s="118"/>
      <c r="W148" s="118"/>
      <c r="X148" s="118"/>
      <c r="Y148" s="118"/>
      <c r="Z148" s="118"/>
      <c r="AA148" s="118"/>
      <c r="AB148" s="118"/>
      <c r="AC148" s="118"/>
    </row>
    <row r="149" spans="1:29" ht="12.75" customHeight="1">
      <c r="A149" s="119">
        <f t="shared" si="5"/>
        <v>120</v>
      </c>
      <c r="B149" s="140" t="s">
        <v>650</v>
      </c>
      <c r="C149" s="115" t="s">
        <v>413</v>
      </c>
      <c r="D149" s="118">
        <f>'WP 12'!I14</f>
        <v>350097.28</v>
      </c>
      <c r="E149" s="118"/>
      <c r="F149" s="117"/>
      <c r="G149" s="121"/>
      <c r="H149" s="124"/>
      <c r="I149" s="124"/>
      <c r="J149" s="118"/>
      <c r="K149" s="118"/>
      <c r="L149" s="118"/>
      <c r="M149" s="118"/>
      <c r="N149" s="118"/>
      <c r="O149" s="118"/>
      <c r="P149" s="118"/>
      <c r="Q149" s="118"/>
      <c r="R149" s="118"/>
      <c r="S149" s="118"/>
      <c r="T149" s="118"/>
      <c r="U149" s="118"/>
      <c r="V149" s="118"/>
      <c r="W149" s="118"/>
      <c r="X149" s="118"/>
      <c r="Y149" s="118"/>
      <c r="Z149" s="118"/>
      <c r="AA149" s="118"/>
      <c r="AB149" s="118"/>
      <c r="AC149" s="118"/>
    </row>
    <row r="150" spans="1:29" ht="12.75" customHeight="1">
      <c r="A150" s="119">
        <f t="shared" si="5"/>
        <v>121</v>
      </c>
      <c r="B150" s="142" t="s">
        <v>445</v>
      </c>
      <c r="C150" s="115" t="s">
        <v>444</v>
      </c>
      <c r="D150" s="124">
        <v>57505161</v>
      </c>
      <c r="E150" s="118"/>
      <c r="F150" s="117"/>
      <c r="G150" s="121"/>
      <c r="H150" s="124"/>
      <c r="I150" s="124"/>
      <c r="J150" s="118"/>
      <c r="K150" s="118"/>
      <c r="L150" s="118"/>
      <c r="M150" s="118"/>
      <c r="N150" s="118"/>
      <c r="O150" s="118"/>
      <c r="P150" s="118"/>
      <c r="Q150" s="118"/>
      <c r="R150" s="118"/>
      <c r="S150" s="118"/>
      <c r="T150" s="118"/>
      <c r="U150" s="118"/>
      <c r="V150" s="118"/>
      <c r="W150" s="118"/>
      <c r="X150" s="118"/>
      <c r="Y150" s="118"/>
      <c r="Z150" s="118"/>
      <c r="AA150" s="118"/>
      <c r="AB150" s="118"/>
      <c r="AC150" s="118"/>
    </row>
    <row r="151" spans="1:29" ht="12.75" customHeight="1">
      <c r="A151" s="119">
        <f t="shared" si="5"/>
        <v>122</v>
      </c>
      <c r="B151" s="142" t="s">
        <v>443</v>
      </c>
      <c r="C151" s="115" t="s">
        <v>442</v>
      </c>
      <c r="D151" s="130">
        <v>1311400</v>
      </c>
      <c r="E151" s="118"/>
      <c r="F151" s="117"/>
      <c r="G151" s="121"/>
      <c r="H151" s="124"/>
      <c r="I151" s="124"/>
      <c r="J151" s="118"/>
      <c r="K151" s="118"/>
      <c r="L151" s="118"/>
      <c r="M151" s="118"/>
      <c r="N151" s="118"/>
      <c r="O151" s="118"/>
      <c r="P151" s="118"/>
      <c r="Q151" s="118"/>
      <c r="R151" s="118"/>
      <c r="S151" s="118"/>
      <c r="T151" s="118"/>
      <c r="U151" s="118"/>
      <c r="V151" s="118"/>
      <c r="W151" s="118"/>
      <c r="X151" s="118"/>
      <c r="Y151" s="118"/>
      <c r="Z151" s="118"/>
      <c r="AA151" s="118"/>
      <c r="AB151" s="118"/>
      <c r="AC151" s="118"/>
    </row>
    <row r="152" spans="1:29" ht="12.75" customHeight="1">
      <c r="A152" s="119">
        <f t="shared" si="5"/>
        <v>123</v>
      </c>
      <c r="B152" s="127" t="s">
        <v>441</v>
      </c>
      <c r="C152" s="126" t="str">
        <f>"Ln"&amp;A149&amp;" + "&amp;"Ln"&amp;A150&amp;" + "&amp;"Ln"&amp;A151</f>
        <v>Ln120 + Ln121 + Ln122</v>
      </c>
      <c r="D152" s="118">
        <f>D150+D151+D149</f>
        <v>59166658.280000001</v>
      </c>
      <c r="E152" s="118"/>
      <c r="F152" s="117"/>
      <c r="G152" s="121"/>
      <c r="H152" s="124"/>
      <c r="I152" s="124"/>
      <c r="J152" s="118"/>
      <c r="K152" s="118"/>
      <c r="L152" s="118"/>
      <c r="M152" s="118"/>
      <c r="N152" s="118"/>
      <c r="O152" s="118"/>
      <c r="P152" s="118"/>
      <c r="Q152" s="118"/>
      <c r="R152" s="118"/>
      <c r="S152" s="118"/>
      <c r="T152" s="118"/>
      <c r="U152" s="118"/>
      <c r="V152" s="118"/>
      <c r="W152" s="118"/>
      <c r="X152" s="118"/>
      <c r="Y152" s="118"/>
      <c r="Z152" s="118"/>
      <c r="AA152" s="118"/>
      <c r="AB152" s="118"/>
      <c r="AC152" s="118"/>
    </row>
    <row r="153" spans="1:29" ht="12.75" customHeight="1">
      <c r="A153" s="119">
        <f t="shared" si="5"/>
        <v>124</v>
      </c>
      <c r="B153" s="131" t="s">
        <v>440</v>
      </c>
      <c r="D153" s="118"/>
      <c r="E153" s="118"/>
      <c r="F153" s="117"/>
      <c r="G153" s="121"/>
      <c r="H153" s="124"/>
      <c r="I153" s="124"/>
      <c r="J153" s="118"/>
      <c r="K153" s="118"/>
      <c r="L153" s="118"/>
      <c r="M153" s="118"/>
      <c r="N153" s="118"/>
      <c r="O153" s="118"/>
      <c r="P153" s="118"/>
      <c r="Q153" s="118"/>
      <c r="R153" s="118"/>
      <c r="S153" s="118"/>
      <c r="T153" s="118"/>
      <c r="U153" s="118"/>
      <c r="V153" s="118"/>
      <c r="W153" s="118"/>
      <c r="X153" s="118"/>
      <c r="Y153" s="118"/>
      <c r="Z153" s="118"/>
      <c r="AA153" s="118"/>
      <c r="AB153" s="118"/>
      <c r="AC153" s="118"/>
    </row>
    <row r="154" spans="1:29" ht="12.75" customHeight="1">
      <c r="A154" s="119">
        <f t="shared" si="5"/>
        <v>125</v>
      </c>
      <c r="B154" s="140" t="s">
        <v>439</v>
      </c>
      <c r="C154" s="115" t="s">
        <v>438</v>
      </c>
      <c r="D154" s="124">
        <v>0</v>
      </c>
      <c r="E154" s="118"/>
      <c r="F154" s="117"/>
      <c r="G154" s="121"/>
      <c r="H154" s="124"/>
      <c r="I154" s="124"/>
      <c r="J154" s="118"/>
      <c r="K154" s="118"/>
      <c r="L154" s="118"/>
      <c r="M154" s="118"/>
      <c r="N154" s="118"/>
      <c r="O154" s="118"/>
      <c r="P154" s="118"/>
      <c r="Q154" s="118"/>
      <c r="R154" s="118"/>
      <c r="S154" s="118"/>
      <c r="T154" s="118"/>
      <c r="U154" s="118"/>
      <c r="V154" s="118"/>
      <c r="W154" s="118"/>
      <c r="X154" s="118"/>
      <c r="Y154" s="118"/>
      <c r="Z154" s="118"/>
      <c r="AA154" s="118"/>
      <c r="AB154" s="118"/>
      <c r="AC154" s="118"/>
    </row>
    <row r="155" spans="1:29" ht="12.75" customHeight="1">
      <c r="A155" s="119">
        <f t="shared" si="5"/>
        <v>126</v>
      </c>
      <c r="B155" s="140" t="s">
        <v>437</v>
      </c>
      <c r="C155" s="115" t="s">
        <v>436</v>
      </c>
      <c r="D155" s="124">
        <v>-7871</v>
      </c>
      <c r="E155" s="118"/>
      <c r="F155" s="117"/>
      <c r="G155" s="121"/>
      <c r="H155" s="124"/>
      <c r="I155" s="124"/>
      <c r="J155" s="118"/>
      <c r="K155" s="118"/>
      <c r="L155" s="118"/>
      <c r="M155" s="118"/>
      <c r="N155" s="118"/>
      <c r="O155" s="118"/>
      <c r="P155" s="118"/>
      <c r="Q155" s="118"/>
      <c r="R155" s="118"/>
      <c r="S155" s="118"/>
      <c r="T155" s="118"/>
      <c r="U155" s="118"/>
      <c r="V155" s="118"/>
      <c r="W155" s="118"/>
      <c r="X155" s="118"/>
      <c r="Y155" s="118"/>
      <c r="Z155" s="118"/>
      <c r="AA155" s="118"/>
      <c r="AB155" s="118"/>
      <c r="AC155" s="118"/>
    </row>
    <row r="156" spans="1:29" ht="12.75" customHeight="1">
      <c r="A156" s="119">
        <f t="shared" si="5"/>
        <v>127</v>
      </c>
      <c r="B156" s="140" t="s">
        <v>435</v>
      </c>
      <c r="C156" s="115" t="s">
        <v>434</v>
      </c>
      <c r="D156" s="130">
        <v>14051751</v>
      </c>
      <c r="E156" s="118"/>
      <c r="F156" s="117"/>
      <c r="G156" s="121"/>
      <c r="H156" s="124"/>
      <c r="I156" s="124"/>
      <c r="J156" s="118"/>
      <c r="K156" s="118"/>
      <c r="L156" s="118"/>
      <c r="M156" s="118"/>
      <c r="N156" s="118"/>
      <c r="O156" s="118"/>
      <c r="P156" s="118"/>
      <c r="Q156" s="118"/>
      <c r="R156" s="118"/>
      <c r="S156" s="118"/>
      <c r="T156" s="118"/>
      <c r="U156" s="118"/>
      <c r="V156" s="118"/>
      <c r="W156" s="118"/>
      <c r="X156" s="118"/>
      <c r="Y156" s="118"/>
      <c r="Z156" s="118"/>
      <c r="AA156" s="118"/>
      <c r="AB156" s="118"/>
      <c r="AC156" s="118"/>
    </row>
    <row r="157" spans="1:29" ht="12.75" customHeight="1">
      <c r="A157" s="119">
        <f t="shared" si="5"/>
        <v>128</v>
      </c>
      <c r="B157" s="127" t="s">
        <v>433</v>
      </c>
      <c r="C157" s="126" t="str">
        <f>"Ln"&amp;A154&amp;" + "&amp;"Ln"&amp;A155&amp;" + "&amp;"Ln"&amp;A156</f>
        <v>Ln125 + Ln126 + Ln127</v>
      </c>
      <c r="D157" s="118">
        <f>D154+D155+D156</f>
        <v>14043880</v>
      </c>
      <c r="E157" s="118"/>
      <c r="F157" s="117"/>
      <c r="G157" s="121"/>
      <c r="H157" s="124"/>
      <c r="I157" s="124"/>
      <c r="J157" s="118"/>
      <c r="K157" s="118"/>
      <c r="L157" s="118"/>
      <c r="M157" s="118"/>
      <c r="N157" s="118"/>
      <c r="O157" s="118"/>
      <c r="P157" s="118"/>
      <c r="Q157" s="118"/>
      <c r="R157" s="118"/>
      <c r="S157" s="118"/>
      <c r="T157" s="118"/>
      <c r="U157" s="118"/>
      <c r="V157" s="118"/>
      <c r="W157" s="118"/>
      <c r="X157" s="118"/>
      <c r="Y157" s="118"/>
      <c r="Z157" s="118"/>
      <c r="AA157" s="118"/>
      <c r="AB157" s="118"/>
      <c r="AC157" s="118"/>
    </row>
    <row r="158" spans="1:29" ht="12.75" customHeight="1">
      <c r="A158" s="119">
        <f t="shared" si="5"/>
        <v>129</v>
      </c>
      <c r="B158" s="131" t="s">
        <v>432</v>
      </c>
      <c r="C158" s="114"/>
      <c r="D158" s="118"/>
      <c r="E158" s="118"/>
      <c r="F158" s="117"/>
      <c r="G158" s="121"/>
      <c r="H158" s="124"/>
      <c r="I158" s="124"/>
      <c r="J158" s="118"/>
      <c r="K158" s="118"/>
      <c r="L158" s="118"/>
      <c r="M158" s="118"/>
      <c r="N158" s="118"/>
      <c r="O158" s="118"/>
      <c r="P158" s="118"/>
      <c r="Q158" s="118"/>
      <c r="R158" s="118"/>
      <c r="S158" s="118"/>
      <c r="T158" s="118"/>
      <c r="U158" s="118"/>
      <c r="V158" s="118"/>
      <c r="W158" s="118"/>
      <c r="X158" s="118"/>
      <c r="Y158" s="118"/>
      <c r="Z158" s="118"/>
      <c r="AA158" s="118"/>
      <c r="AB158" s="118"/>
      <c r="AC158" s="118"/>
    </row>
    <row r="159" spans="1:29" ht="12.75" customHeight="1">
      <c r="A159" s="119">
        <f t="shared" si="5"/>
        <v>130</v>
      </c>
      <c r="B159" s="140" t="s">
        <v>431</v>
      </c>
      <c r="C159" s="115" t="s">
        <v>430</v>
      </c>
      <c r="D159" s="118">
        <v>4381</v>
      </c>
      <c r="E159" s="118"/>
      <c r="F159" s="117"/>
      <c r="G159" s="121"/>
      <c r="H159" s="124"/>
      <c r="I159" s="124"/>
      <c r="J159" s="118"/>
      <c r="K159" s="118"/>
      <c r="L159" s="118"/>
      <c r="M159" s="118"/>
      <c r="N159" s="118"/>
      <c r="O159" s="118"/>
      <c r="P159" s="118"/>
      <c r="Q159" s="118"/>
      <c r="R159" s="118"/>
      <c r="S159" s="118"/>
      <c r="T159" s="118"/>
      <c r="U159" s="118"/>
      <c r="V159" s="118"/>
      <c r="W159" s="118"/>
      <c r="X159" s="118"/>
      <c r="Y159" s="118"/>
      <c r="Z159" s="118"/>
      <c r="AA159" s="118"/>
      <c r="AB159" s="118"/>
      <c r="AC159" s="118"/>
    </row>
    <row r="160" spans="1:29" ht="12.75" customHeight="1">
      <c r="A160" s="119">
        <f t="shared" si="5"/>
        <v>131</v>
      </c>
      <c r="B160" s="140" t="s">
        <v>429</v>
      </c>
      <c r="C160" s="115" t="s">
        <v>413</v>
      </c>
      <c r="D160" s="118">
        <f>+'WP 12'!I15</f>
        <v>31964.09</v>
      </c>
      <c r="E160" s="118"/>
      <c r="F160" s="117"/>
      <c r="G160" s="121"/>
      <c r="H160" s="124"/>
      <c r="I160" s="124"/>
      <c r="J160" s="118"/>
      <c r="K160" s="118"/>
      <c r="L160" s="118"/>
      <c r="M160" s="118"/>
      <c r="N160" s="118"/>
      <c r="O160" s="118"/>
      <c r="P160" s="118"/>
      <c r="Q160" s="118"/>
      <c r="R160" s="118"/>
      <c r="S160" s="118"/>
      <c r="T160" s="118"/>
      <c r="U160" s="118"/>
      <c r="V160" s="118"/>
      <c r="W160" s="118"/>
      <c r="X160" s="118"/>
      <c r="Y160" s="118"/>
      <c r="Z160" s="118"/>
      <c r="AA160" s="118"/>
      <c r="AB160" s="118"/>
      <c r="AC160" s="118"/>
    </row>
    <row r="161" spans="1:29" ht="12.75" customHeight="1">
      <c r="A161" s="119">
        <f t="shared" si="5"/>
        <v>132</v>
      </c>
      <c r="B161" s="140" t="s">
        <v>428</v>
      </c>
      <c r="C161" s="115" t="s">
        <v>427</v>
      </c>
      <c r="D161" s="118">
        <v>3524773</v>
      </c>
      <c r="E161" s="118"/>
      <c r="F161" s="117"/>
      <c r="G161" s="121"/>
      <c r="H161" s="124"/>
      <c r="I161" s="124"/>
      <c r="J161" s="118"/>
      <c r="K161" s="118"/>
      <c r="L161" s="118"/>
      <c r="M161" s="118"/>
      <c r="N161" s="118"/>
      <c r="O161" s="118"/>
      <c r="P161" s="118"/>
      <c r="Q161" s="118"/>
      <c r="R161" s="118"/>
      <c r="S161" s="118"/>
      <c r="T161" s="118"/>
      <c r="U161" s="118"/>
      <c r="V161" s="118"/>
      <c r="W161" s="118"/>
      <c r="X161" s="118"/>
      <c r="Y161" s="118"/>
      <c r="Z161" s="118"/>
      <c r="AA161" s="118"/>
      <c r="AB161" s="118"/>
      <c r="AC161" s="118"/>
    </row>
    <row r="162" spans="1:29" ht="12.75" customHeight="1">
      <c r="A162" s="119">
        <f t="shared" si="5"/>
        <v>133</v>
      </c>
      <c r="B162" s="140" t="s">
        <v>426</v>
      </c>
      <c r="C162" s="115" t="s">
        <v>425</v>
      </c>
      <c r="D162" s="118">
        <v>30863</v>
      </c>
      <c r="E162" s="118"/>
      <c r="F162" s="117"/>
      <c r="G162" s="121"/>
      <c r="H162" s="124"/>
      <c r="I162" s="124"/>
      <c r="J162" s="118"/>
      <c r="K162" s="118"/>
      <c r="L162" s="118"/>
      <c r="M162" s="118"/>
      <c r="N162" s="118"/>
      <c r="O162" s="118"/>
      <c r="P162" s="118"/>
      <c r="Q162" s="118"/>
      <c r="R162" s="118"/>
      <c r="S162" s="118"/>
      <c r="T162" s="118"/>
      <c r="U162" s="118"/>
      <c r="V162" s="118"/>
      <c r="W162" s="118"/>
      <c r="X162" s="118"/>
      <c r="Y162" s="118"/>
      <c r="Z162" s="118"/>
      <c r="AA162" s="118"/>
      <c r="AB162" s="118"/>
      <c r="AC162" s="118"/>
    </row>
    <row r="163" spans="1:29" ht="12.75" customHeight="1">
      <c r="A163" s="119">
        <f t="shared" si="5"/>
        <v>134</v>
      </c>
      <c r="B163" s="140" t="s">
        <v>424</v>
      </c>
      <c r="C163" s="115" t="s">
        <v>423</v>
      </c>
      <c r="D163" s="118">
        <v>70004</v>
      </c>
      <c r="E163" s="118"/>
      <c r="F163" s="117"/>
      <c r="G163" s="125"/>
      <c r="H163" s="124"/>
      <c r="I163" s="124"/>
      <c r="J163" s="118"/>
      <c r="K163" s="118"/>
      <c r="L163" s="118"/>
      <c r="M163" s="118"/>
      <c r="N163" s="118"/>
      <c r="O163" s="118"/>
      <c r="P163" s="118"/>
      <c r="Q163" s="118"/>
      <c r="R163" s="118"/>
      <c r="S163" s="118"/>
      <c r="T163" s="118"/>
      <c r="U163" s="118"/>
      <c r="V163" s="118"/>
      <c r="W163" s="118"/>
      <c r="X163" s="118"/>
      <c r="Y163" s="118"/>
      <c r="Z163" s="118"/>
      <c r="AA163" s="118"/>
      <c r="AB163" s="118"/>
      <c r="AC163" s="118"/>
    </row>
    <row r="164" spans="1:29" ht="12.75" customHeight="1">
      <c r="A164" s="119">
        <f t="shared" si="5"/>
        <v>135</v>
      </c>
      <c r="B164" s="140" t="s">
        <v>422</v>
      </c>
      <c r="C164" s="115" t="s">
        <v>421</v>
      </c>
      <c r="D164" s="124">
        <v>2337739</v>
      </c>
      <c r="E164" s="118"/>
      <c r="F164" s="117"/>
      <c r="G164" s="121"/>
      <c r="H164" s="124"/>
      <c r="I164" s="124"/>
      <c r="J164" s="118"/>
      <c r="K164" s="118"/>
      <c r="L164" s="118"/>
      <c r="M164" s="118"/>
      <c r="N164" s="118"/>
      <c r="O164" s="118"/>
      <c r="P164" s="118"/>
      <c r="Q164" s="118"/>
      <c r="R164" s="118"/>
      <c r="S164" s="118"/>
      <c r="T164" s="118"/>
      <c r="U164" s="118"/>
      <c r="V164" s="118"/>
      <c r="W164" s="118"/>
      <c r="X164" s="118"/>
      <c r="Y164" s="118"/>
      <c r="Z164" s="118"/>
      <c r="AA164" s="118"/>
      <c r="AB164" s="118"/>
      <c r="AC164" s="118"/>
    </row>
    <row r="165" spans="1:29" ht="12.75" customHeight="1">
      <c r="A165" s="119">
        <f t="shared" si="5"/>
        <v>136</v>
      </c>
      <c r="B165" s="140" t="s">
        <v>420</v>
      </c>
      <c r="C165" s="115" t="s">
        <v>419</v>
      </c>
      <c r="D165" s="124">
        <v>-300000</v>
      </c>
      <c r="E165" s="118"/>
      <c r="F165" s="117"/>
      <c r="G165" s="125"/>
      <c r="H165" s="124"/>
      <c r="I165" s="124"/>
      <c r="J165" s="118"/>
      <c r="K165" s="118"/>
      <c r="L165" s="118"/>
      <c r="M165" s="118"/>
      <c r="N165" s="118"/>
      <c r="O165" s="118"/>
      <c r="P165" s="118"/>
      <c r="Q165" s="118"/>
      <c r="R165" s="118"/>
      <c r="S165" s="118"/>
      <c r="T165" s="118"/>
      <c r="U165" s="118"/>
      <c r="V165" s="118"/>
      <c r="W165" s="118"/>
      <c r="X165" s="118"/>
      <c r="Y165" s="118"/>
      <c r="Z165" s="118"/>
      <c r="AA165" s="118"/>
      <c r="AB165" s="118"/>
      <c r="AC165" s="118"/>
    </row>
    <row r="166" spans="1:29" ht="12.75" customHeight="1">
      <c r="A166" s="119">
        <f t="shared" si="5"/>
        <v>137</v>
      </c>
      <c r="B166" s="140" t="s">
        <v>418</v>
      </c>
      <c r="C166" s="115" t="s">
        <v>413</v>
      </c>
      <c r="D166" s="124">
        <f>'WP 12'!I16</f>
        <v>190.12</v>
      </c>
      <c r="E166" s="118"/>
      <c r="F166" s="117"/>
      <c r="G166" s="125"/>
      <c r="H166" s="124"/>
      <c r="I166" s="124"/>
      <c r="J166" s="118"/>
      <c r="K166" s="118"/>
      <c r="L166" s="118"/>
      <c r="M166" s="118"/>
      <c r="N166" s="118"/>
      <c r="O166" s="118"/>
      <c r="P166" s="118"/>
      <c r="Q166" s="118"/>
      <c r="R166" s="118"/>
      <c r="S166" s="118"/>
      <c r="T166" s="118"/>
      <c r="U166" s="118"/>
      <c r="V166" s="118"/>
      <c r="W166" s="118"/>
      <c r="X166" s="118"/>
      <c r="Y166" s="118"/>
      <c r="Z166" s="118"/>
      <c r="AA166" s="118"/>
      <c r="AB166" s="118"/>
      <c r="AC166" s="118"/>
    </row>
    <row r="167" spans="1:29" ht="12.75" customHeight="1">
      <c r="A167" s="119">
        <f t="shared" si="5"/>
        <v>138</v>
      </c>
      <c r="B167" s="140" t="s">
        <v>417</v>
      </c>
      <c r="C167" s="115" t="s">
        <v>416</v>
      </c>
      <c r="D167" s="118">
        <v>0</v>
      </c>
      <c r="E167" s="118"/>
      <c r="F167" s="117"/>
      <c r="G167" s="121"/>
      <c r="H167" s="124"/>
      <c r="I167" s="124"/>
      <c r="J167" s="118"/>
      <c r="K167" s="118"/>
      <c r="L167" s="118"/>
      <c r="M167" s="118"/>
      <c r="N167" s="118"/>
      <c r="O167" s="118"/>
      <c r="P167" s="118"/>
      <c r="Q167" s="118"/>
      <c r="R167" s="118"/>
      <c r="S167" s="118"/>
      <c r="T167" s="118"/>
      <c r="U167" s="118"/>
      <c r="V167" s="118"/>
      <c r="W167" s="118"/>
      <c r="X167" s="118"/>
      <c r="Y167" s="118"/>
      <c r="Z167" s="118"/>
      <c r="AA167" s="118"/>
      <c r="AB167" s="118"/>
      <c r="AC167" s="118"/>
    </row>
    <row r="168" spans="1:29" ht="12.75" customHeight="1">
      <c r="A168" s="119">
        <f t="shared" si="5"/>
        <v>139</v>
      </c>
      <c r="B168" s="141" t="s">
        <v>415</v>
      </c>
      <c r="C168" s="115" t="s">
        <v>413</v>
      </c>
      <c r="D168" s="124">
        <f>'WP 12'!I12</f>
        <v>31.540000000000003</v>
      </c>
      <c r="E168" s="118"/>
      <c r="F168" s="117"/>
      <c r="G168" s="125"/>
      <c r="H168" s="124"/>
      <c r="I168" s="124"/>
      <c r="J168" s="118"/>
      <c r="K168" s="118"/>
      <c r="L168" s="118"/>
      <c r="M168" s="118"/>
      <c r="N168" s="118"/>
      <c r="O168" s="118"/>
      <c r="P168" s="118"/>
      <c r="Q168" s="118"/>
      <c r="R168" s="118"/>
      <c r="S168" s="118"/>
      <c r="T168" s="118"/>
      <c r="U168" s="118"/>
      <c r="V168" s="118"/>
      <c r="W168" s="118"/>
      <c r="X168" s="118"/>
      <c r="Y168" s="118"/>
      <c r="Z168" s="118"/>
      <c r="AA168" s="118"/>
      <c r="AB168" s="118"/>
      <c r="AC168" s="118"/>
    </row>
    <row r="169" spans="1:29" ht="12.75" customHeight="1">
      <c r="A169" s="119">
        <f t="shared" si="5"/>
        <v>140</v>
      </c>
      <c r="B169" s="140" t="s">
        <v>414</v>
      </c>
      <c r="C169" s="115" t="s">
        <v>413</v>
      </c>
      <c r="D169" s="130">
        <f>'WP 12'!I13</f>
        <v>15.61</v>
      </c>
      <c r="E169" s="118"/>
      <c r="F169" s="117"/>
      <c r="G169" s="125"/>
      <c r="H169" s="124"/>
      <c r="I169" s="124"/>
      <c r="J169" s="118"/>
      <c r="K169" s="118"/>
      <c r="L169" s="118"/>
      <c r="M169" s="118"/>
      <c r="N169" s="118"/>
      <c r="O169" s="118"/>
      <c r="P169" s="118"/>
      <c r="Q169" s="118"/>
      <c r="R169" s="118"/>
      <c r="S169" s="118"/>
      <c r="T169" s="118"/>
      <c r="U169" s="118"/>
      <c r="V169" s="118"/>
      <c r="W169" s="118"/>
      <c r="X169" s="118"/>
      <c r="Y169" s="118"/>
      <c r="Z169" s="118"/>
      <c r="AA169" s="118"/>
      <c r="AB169" s="118"/>
      <c r="AC169" s="118"/>
    </row>
    <row r="170" spans="1:29" ht="12.75" customHeight="1">
      <c r="A170" s="119">
        <f t="shared" si="5"/>
        <v>141</v>
      </c>
      <c r="B170" s="127" t="s">
        <v>361</v>
      </c>
      <c r="C170" s="115" t="str">
        <f>"Sum (Ln"&amp;A159&amp;" - Ln"&amp;A169&amp;")"</f>
        <v>Sum (Ln130 - Ln140)</v>
      </c>
      <c r="D170" s="118">
        <f>SUM(D159:D169)</f>
        <v>5699961.3600000003</v>
      </c>
      <c r="E170" s="118"/>
      <c r="F170" s="117"/>
      <c r="G170" s="121"/>
      <c r="H170" s="124"/>
      <c r="I170" s="124"/>
      <c r="J170" s="118"/>
      <c r="K170" s="118"/>
      <c r="L170" s="118"/>
      <c r="M170" s="118"/>
      <c r="N170" s="118"/>
      <c r="O170" s="118"/>
      <c r="P170" s="118"/>
      <c r="Q170" s="118"/>
      <c r="R170" s="118"/>
      <c r="S170" s="118"/>
      <c r="T170" s="118"/>
      <c r="U170" s="118"/>
      <c r="V170" s="118"/>
      <c r="W170" s="118"/>
      <c r="X170" s="118"/>
      <c r="Y170" s="118"/>
      <c r="Z170" s="118"/>
      <c r="AA170" s="118"/>
      <c r="AB170" s="118"/>
      <c r="AC170" s="118"/>
    </row>
    <row r="171" spans="1:29" ht="12.75" customHeight="1">
      <c r="A171" s="119">
        <f t="shared" si="5"/>
        <v>142</v>
      </c>
      <c r="B171" s="127"/>
      <c r="D171" s="118"/>
      <c r="E171" s="118"/>
      <c r="F171" s="117"/>
      <c r="G171" s="125"/>
      <c r="H171" s="124"/>
      <c r="I171" s="124"/>
      <c r="J171" s="118"/>
      <c r="K171" s="118"/>
      <c r="L171" s="118"/>
      <c r="M171" s="118"/>
      <c r="N171" s="118"/>
      <c r="O171" s="118"/>
      <c r="P171" s="118"/>
      <c r="Q171" s="118"/>
      <c r="R171" s="118"/>
      <c r="S171" s="118"/>
      <c r="T171" s="118"/>
      <c r="U171" s="118"/>
      <c r="V171" s="118"/>
      <c r="W171" s="118"/>
      <c r="X171" s="118"/>
      <c r="Y171" s="118"/>
      <c r="Z171" s="118"/>
      <c r="AA171" s="118"/>
      <c r="AB171" s="118"/>
      <c r="AC171" s="118"/>
    </row>
    <row r="172" spans="1:29" ht="7.5" customHeight="1">
      <c r="A172" s="119"/>
      <c r="B172" s="127"/>
      <c r="D172" s="118"/>
      <c r="E172" s="118"/>
      <c r="F172" s="117"/>
      <c r="G172" s="125"/>
      <c r="H172" s="124"/>
      <c r="I172" s="124"/>
      <c r="J172" s="118"/>
      <c r="K172" s="118"/>
      <c r="L172" s="118"/>
      <c r="M172" s="118"/>
      <c r="N172" s="118"/>
      <c r="O172" s="118"/>
      <c r="P172" s="118"/>
      <c r="Q172" s="118"/>
      <c r="R172" s="118"/>
      <c r="S172" s="118"/>
      <c r="T172" s="118"/>
      <c r="U172" s="118"/>
      <c r="V172" s="118"/>
      <c r="W172" s="118"/>
      <c r="X172" s="118"/>
      <c r="Y172" s="118"/>
      <c r="Z172" s="118"/>
      <c r="AA172" s="118"/>
      <c r="AB172" s="118"/>
      <c r="AC172" s="118"/>
    </row>
    <row r="173" spans="1:29" ht="12.75" customHeight="1">
      <c r="A173" s="119">
        <f>A171+1</f>
        <v>143</v>
      </c>
      <c r="B173" s="115" t="s">
        <v>103</v>
      </c>
      <c r="C173" s="114"/>
      <c r="D173" s="118"/>
      <c r="E173" s="118"/>
      <c r="F173" s="117"/>
      <c r="G173" s="121"/>
      <c r="H173" s="124"/>
      <c r="I173" s="124"/>
      <c r="J173" s="118"/>
      <c r="K173" s="118"/>
      <c r="L173" s="118"/>
      <c r="M173" s="118"/>
      <c r="N173" s="118"/>
      <c r="O173" s="118"/>
      <c r="P173" s="118"/>
      <c r="Q173" s="118"/>
      <c r="R173" s="118"/>
      <c r="S173" s="118"/>
      <c r="T173" s="118"/>
      <c r="U173" s="118"/>
      <c r="V173" s="118"/>
      <c r="W173" s="118"/>
      <c r="X173" s="118"/>
      <c r="Y173" s="118"/>
      <c r="Z173" s="118"/>
      <c r="AA173" s="118"/>
      <c r="AB173" s="118"/>
      <c r="AC173" s="118"/>
    </row>
    <row r="174" spans="1:29" ht="12.75" customHeight="1">
      <c r="A174" s="119">
        <f>A173+1</f>
        <v>144</v>
      </c>
      <c r="B174" s="131" t="s">
        <v>412</v>
      </c>
      <c r="C174" s="115" t="s">
        <v>411</v>
      </c>
      <c r="D174" s="118">
        <v>2342668</v>
      </c>
      <c r="E174" s="118"/>
      <c r="F174" s="117"/>
      <c r="G174" s="121"/>
      <c r="H174" s="124"/>
      <c r="I174" s="124"/>
      <c r="J174" s="118"/>
      <c r="K174" s="118"/>
      <c r="L174" s="118"/>
      <c r="M174" s="118"/>
      <c r="N174" s="118"/>
      <c r="O174" s="118"/>
      <c r="P174" s="118"/>
      <c r="Q174" s="118"/>
      <c r="R174" s="118"/>
      <c r="S174" s="118"/>
      <c r="T174" s="118"/>
      <c r="U174" s="118"/>
      <c r="V174" s="118"/>
      <c r="W174" s="118"/>
      <c r="X174" s="118"/>
      <c r="Y174" s="118"/>
      <c r="Z174" s="118"/>
      <c r="AA174" s="118"/>
      <c r="AB174" s="118"/>
      <c r="AC174" s="118"/>
    </row>
    <row r="175" spans="1:29" ht="12.75" customHeight="1">
      <c r="A175" s="119">
        <f>A174+1</f>
        <v>145</v>
      </c>
      <c r="B175" s="131" t="s">
        <v>410</v>
      </c>
      <c r="C175" s="115" t="s">
        <v>409</v>
      </c>
      <c r="D175" s="118">
        <v>4543043</v>
      </c>
      <c r="E175" s="118"/>
      <c r="F175" s="117"/>
      <c r="G175" s="121"/>
      <c r="H175" s="124"/>
      <c r="I175" s="124"/>
      <c r="J175" s="118"/>
      <c r="K175" s="118"/>
      <c r="L175" s="118"/>
      <c r="M175" s="118"/>
      <c r="N175" s="118"/>
      <c r="O175" s="118"/>
      <c r="P175" s="118"/>
      <c r="Q175" s="118"/>
      <c r="R175" s="118"/>
      <c r="S175" s="118"/>
      <c r="T175" s="118"/>
      <c r="U175" s="118"/>
      <c r="V175" s="118"/>
      <c r="W175" s="118"/>
      <c r="X175" s="118"/>
      <c r="Y175" s="118"/>
      <c r="Z175" s="118"/>
      <c r="AA175" s="118"/>
      <c r="AB175" s="118"/>
      <c r="AC175" s="118"/>
    </row>
    <row r="176" spans="1:29" ht="12.75" customHeight="1">
      <c r="A176" s="119">
        <f>A175+1</f>
        <v>146</v>
      </c>
      <c r="B176" s="131" t="s">
        <v>47</v>
      </c>
      <c r="C176" s="115" t="s">
        <v>408</v>
      </c>
      <c r="D176" s="124">
        <v>5295388</v>
      </c>
      <c r="E176" s="118"/>
      <c r="F176" s="117"/>
      <c r="G176" s="125"/>
      <c r="H176" s="124"/>
      <c r="I176" s="124"/>
      <c r="J176" s="118"/>
      <c r="K176" s="118"/>
      <c r="L176" s="118"/>
      <c r="M176" s="118"/>
      <c r="N176" s="118"/>
      <c r="O176" s="118"/>
      <c r="P176" s="118"/>
      <c r="Q176" s="118"/>
      <c r="R176" s="118"/>
      <c r="S176" s="118"/>
      <c r="T176" s="118"/>
      <c r="U176" s="118"/>
      <c r="V176" s="118"/>
      <c r="W176" s="118"/>
      <c r="X176" s="118"/>
      <c r="Y176" s="118"/>
      <c r="Z176" s="118"/>
      <c r="AA176" s="118"/>
      <c r="AB176" s="118"/>
      <c r="AC176" s="118"/>
    </row>
    <row r="177" spans="1:29" ht="12.75" customHeight="1">
      <c r="A177" s="119">
        <f>A176+1</f>
        <v>147</v>
      </c>
      <c r="B177" s="131"/>
      <c r="D177" s="124"/>
      <c r="E177" s="118"/>
      <c r="F177" s="139"/>
      <c r="G177" s="121"/>
      <c r="H177" s="124"/>
      <c r="I177" s="124"/>
      <c r="J177" s="118"/>
      <c r="K177" s="118"/>
      <c r="L177" s="118"/>
      <c r="M177" s="118"/>
      <c r="N177" s="118"/>
      <c r="O177" s="118"/>
      <c r="P177" s="118"/>
      <c r="Q177" s="118"/>
      <c r="R177" s="118"/>
      <c r="S177" s="118"/>
      <c r="T177" s="118"/>
      <c r="U177" s="118"/>
      <c r="V177" s="118"/>
      <c r="W177" s="118"/>
      <c r="X177" s="118"/>
      <c r="Y177" s="118"/>
      <c r="Z177" s="118"/>
      <c r="AA177" s="118"/>
      <c r="AB177" s="118"/>
      <c r="AC177" s="118"/>
    </row>
    <row r="178" spans="1:29" ht="3" customHeight="1">
      <c r="A178" s="119"/>
      <c r="B178" s="131"/>
      <c r="D178" s="118"/>
      <c r="E178" s="118"/>
      <c r="F178" s="117"/>
      <c r="G178" s="121"/>
      <c r="H178" s="124"/>
      <c r="I178" s="124"/>
      <c r="J178" s="118"/>
      <c r="K178" s="118"/>
      <c r="L178" s="118"/>
      <c r="M178" s="118"/>
      <c r="N178" s="118"/>
      <c r="O178" s="118"/>
      <c r="P178" s="118"/>
      <c r="Q178" s="118"/>
      <c r="R178" s="118"/>
      <c r="S178" s="118"/>
      <c r="T178" s="118"/>
      <c r="U178" s="118"/>
      <c r="V178" s="118"/>
      <c r="W178" s="118"/>
      <c r="X178" s="118"/>
      <c r="Y178" s="118"/>
      <c r="Z178" s="118"/>
      <c r="AA178" s="118"/>
      <c r="AB178" s="118"/>
      <c r="AC178" s="118"/>
    </row>
    <row r="179" spans="1:29" ht="12.75" customHeight="1">
      <c r="A179" s="119">
        <f>A177+1</f>
        <v>148</v>
      </c>
      <c r="B179" s="129" t="s">
        <v>407</v>
      </c>
      <c r="C179" s="115" t="s">
        <v>406</v>
      </c>
      <c r="D179" s="118">
        <v>-259728</v>
      </c>
      <c r="E179" s="118"/>
      <c r="F179" s="117"/>
      <c r="G179" s="121"/>
      <c r="H179" s="124"/>
      <c r="I179" s="124"/>
      <c r="J179" s="118"/>
      <c r="K179" s="118"/>
      <c r="L179" s="118"/>
      <c r="M179" s="118"/>
      <c r="N179" s="118"/>
      <c r="O179" s="118"/>
      <c r="P179" s="118"/>
      <c r="Q179" s="118"/>
      <c r="R179" s="118"/>
      <c r="S179" s="118"/>
      <c r="T179" s="118"/>
      <c r="U179" s="118"/>
      <c r="V179" s="118"/>
      <c r="W179" s="118"/>
      <c r="X179" s="118"/>
      <c r="Y179" s="118"/>
      <c r="Z179" s="118"/>
      <c r="AA179" s="118"/>
      <c r="AB179" s="118"/>
      <c r="AC179" s="118"/>
    </row>
    <row r="180" spans="1:29" ht="12.75" customHeight="1">
      <c r="A180" s="119">
        <f>A179+1</f>
        <v>149</v>
      </c>
      <c r="B180" s="129" t="s">
        <v>405</v>
      </c>
      <c r="C180" s="126" t="s">
        <v>403</v>
      </c>
      <c r="D180" s="118">
        <f>'WP 5'!D30</f>
        <v>-313391</v>
      </c>
      <c r="E180" s="138"/>
      <c r="F180" s="117"/>
      <c r="G180" s="121"/>
      <c r="H180" s="124"/>
      <c r="I180" s="124"/>
      <c r="J180" s="118"/>
      <c r="K180" s="118"/>
      <c r="L180" s="118"/>
      <c r="M180" s="118"/>
      <c r="N180" s="118"/>
      <c r="O180" s="118"/>
      <c r="P180" s="118"/>
      <c r="Q180" s="118"/>
      <c r="R180" s="118"/>
      <c r="S180" s="118"/>
      <c r="T180" s="118"/>
      <c r="U180" s="118"/>
      <c r="V180" s="118"/>
      <c r="W180" s="118"/>
      <c r="X180" s="118"/>
      <c r="Y180" s="118"/>
      <c r="Z180" s="118"/>
      <c r="AA180" s="118"/>
      <c r="AB180" s="118"/>
      <c r="AC180" s="118"/>
    </row>
    <row r="181" spans="1:29" ht="12.75" customHeight="1">
      <c r="A181" s="119">
        <f>A180+1</f>
        <v>150</v>
      </c>
      <c r="B181" s="129" t="s">
        <v>404</v>
      </c>
      <c r="C181" s="126" t="s">
        <v>403</v>
      </c>
      <c r="D181" s="118">
        <f>'WP 5'!D40</f>
        <v>2990025</v>
      </c>
      <c r="E181" s="118"/>
      <c r="F181" s="117"/>
      <c r="G181" s="121"/>
      <c r="H181" s="124"/>
      <c r="I181" s="124"/>
      <c r="J181" s="118"/>
      <c r="K181" s="118"/>
      <c r="L181" s="118"/>
      <c r="M181" s="118"/>
      <c r="N181" s="118"/>
      <c r="O181" s="118"/>
      <c r="P181" s="118"/>
      <c r="Q181" s="118"/>
      <c r="R181" s="118"/>
      <c r="S181" s="118"/>
      <c r="T181" s="118"/>
      <c r="U181" s="118"/>
      <c r="V181" s="118"/>
      <c r="W181" s="118"/>
      <c r="X181" s="118"/>
      <c r="Y181" s="118"/>
      <c r="Z181" s="118"/>
      <c r="AA181" s="118"/>
      <c r="AB181" s="118"/>
      <c r="AC181" s="118"/>
    </row>
    <row r="182" spans="1:29" ht="3" customHeight="1">
      <c r="A182" s="119"/>
      <c r="D182" s="118"/>
      <c r="E182" s="118"/>
      <c r="F182" s="117"/>
      <c r="G182" s="125"/>
      <c r="H182" s="124"/>
      <c r="I182" s="124"/>
      <c r="J182" s="118"/>
      <c r="K182" s="118"/>
      <c r="L182" s="118"/>
      <c r="M182" s="118"/>
      <c r="N182" s="118"/>
      <c r="O182" s="118"/>
      <c r="P182" s="118"/>
      <c r="Q182" s="118"/>
      <c r="R182" s="118"/>
      <c r="S182" s="118"/>
      <c r="T182" s="118"/>
      <c r="U182" s="118"/>
      <c r="V182" s="118"/>
      <c r="W182" s="118"/>
      <c r="X182" s="118"/>
      <c r="Y182" s="118"/>
      <c r="Z182" s="118"/>
      <c r="AA182" s="118"/>
      <c r="AB182" s="118"/>
      <c r="AC182" s="118"/>
    </row>
    <row r="183" spans="1:29" ht="12.75" customHeight="1">
      <c r="A183" s="119">
        <f>A181+1</f>
        <v>151</v>
      </c>
      <c r="B183" s="114" t="s">
        <v>402</v>
      </c>
      <c r="D183" s="118">
        <v>0</v>
      </c>
      <c r="E183" s="118"/>
      <c r="F183" s="117"/>
      <c r="G183" s="121"/>
      <c r="H183" s="124"/>
      <c r="I183" s="124"/>
      <c r="J183" s="118"/>
      <c r="K183" s="118"/>
      <c r="L183" s="118"/>
      <c r="M183" s="118"/>
      <c r="N183" s="118"/>
      <c r="O183" s="118"/>
      <c r="P183" s="118"/>
      <c r="Q183" s="118"/>
      <c r="R183" s="118"/>
      <c r="S183" s="118"/>
      <c r="T183" s="118"/>
      <c r="U183" s="118"/>
      <c r="V183" s="118"/>
      <c r="W183" s="118"/>
      <c r="X183" s="118"/>
      <c r="Y183" s="118"/>
      <c r="Z183" s="118"/>
      <c r="AA183" s="118"/>
      <c r="AB183" s="118"/>
      <c r="AC183" s="118"/>
    </row>
    <row r="184" spans="1:29" ht="12.75" customHeight="1">
      <c r="A184" s="119">
        <f>A183+1</f>
        <v>152</v>
      </c>
      <c r="B184" s="114" t="s">
        <v>401</v>
      </c>
      <c r="D184" s="118">
        <v>0</v>
      </c>
      <c r="E184" s="118"/>
      <c r="F184" s="117"/>
      <c r="G184" s="121"/>
      <c r="H184" s="124"/>
      <c r="I184" s="124"/>
      <c r="J184" s="118"/>
      <c r="K184" s="118"/>
      <c r="L184" s="118"/>
      <c r="M184" s="118"/>
      <c r="N184" s="118"/>
      <c r="O184" s="118"/>
      <c r="P184" s="118"/>
      <c r="Q184" s="118"/>
      <c r="R184" s="118"/>
      <c r="S184" s="118"/>
      <c r="T184" s="118"/>
      <c r="U184" s="118"/>
      <c r="V184" s="118"/>
      <c r="W184" s="118"/>
      <c r="X184" s="118"/>
      <c r="Y184" s="118"/>
      <c r="Z184" s="118"/>
      <c r="AA184" s="118"/>
      <c r="AB184" s="118"/>
      <c r="AC184" s="118"/>
    </row>
    <row r="185" spans="1:29" ht="3" customHeight="1">
      <c r="A185" s="119"/>
      <c r="B185" s="115"/>
      <c r="D185" s="118"/>
      <c r="E185" s="118"/>
      <c r="F185" s="117"/>
      <c r="G185" s="121"/>
      <c r="H185" s="124"/>
      <c r="I185" s="124"/>
      <c r="J185" s="118"/>
      <c r="K185" s="118"/>
      <c r="L185" s="118"/>
      <c r="M185" s="118"/>
      <c r="N185" s="118"/>
      <c r="O185" s="118"/>
      <c r="P185" s="118"/>
      <c r="Q185" s="118"/>
      <c r="R185" s="118"/>
      <c r="S185" s="118"/>
      <c r="T185" s="118"/>
      <c r="U185" s="118"/>
      <c r="V185" s="118"/>
      <c r="W185" s="118"/>
      <c r="X185" s="118"/>
      <c r="Y185" s="118"/>
      <c r="Z185" s="118"/>
      <c r="AA185" s="118"/>
      <c r="AB185" s="118"/>
      <c r="AC185" s="118"/>
    </row>
    <row r="186" spans="1:29" ht="12.75" customHeight="1">
      <c r="A186" s="119">
        <f>A184+1</f>
        <v>153</v>
      </c>
      <c r="B186" s="129" t="s">
        <v>400</v>
      </c>
      <c r="C186" s="115" t="s">
        <v>399</v>
      </c>
      <c r="D186" s="118">
        <f>'WP 13'!E32</f>
        <v>4660124.9728758633</v>
      </c>
      <c r="E186" s="118"/>
      <c r="F186" s="117"/>
      <c r="G186" s="125"/>
      <c r="H186" s="124"/>
      <c r="I186" s="124"/>
      <c r="J186" s="118"/>
      <c r="K186" s="118"/>
      <c r="L186" s="118"/>
      <c r="M186" s="118"/>
      <c r="N186" s="118"/>
      <c r="O186" s="118"/>
      <c r="P186" s="118"/>
      <c r="Q186" s="118"/>
      <c r="R186" s="118"/>
      <c r="S186" s="118"/>
      <c r="T186" s="118"/>
      <c r="U186" s="118"/>
      <c r="V186" s="118"/>
      <c r="W186" s="118"/>
      <c r="X186" s="118"/>
      <c r="Y186" s="118"/>
      <c r="Z186" s="118"/>
      <c r="AA186" s="118"/>
      <c r="AB186" s="118"/>
      <c r="AC186" s="118"/>
    </row>
    <row r="187" spans="1:29" ht="3" customHeight="1">
      <c r="A187" s="119"/>
      <c r="D187" s="118"/>
      <c r="E187" s="118"/>
      <c r="F187" s="117"/>
      <c r="G187" s="125"/>
      <c r="H187" s="124"/>
      <c r="I187" s="124"/>
      <c r="J187" s="118"/>
      <c r="K187" s="118"/>
      <c r="L187" s="118"/>
      <c r="M187" s="118"/>
      <c r="N187" s="118"/>
      <c r="O187" s="118"/>
      <c r="P187" s="118"/>
      <c r="Q187" s="118"/>
      <c r="R187" s="118"/>
      <c r="S187" s="118"/>
      <c r="T187" s="118"/>
      <c r="U187" s="118"/>
      <c r="V187" s="118"/>
      <c r="W187" s="118"/>
      <c r="X187" s="118"/>
      <c r="Y187" s="118"/>
      <c r="Z187" s="118"/>
      <c r="AA187" s="118"/>
      <c r="AB187" s="118"/>
      <c r="AC187" s="118"/>
    </row>
    <row r="188" spans="1:29" ht="12.75" customHeight="1">
      <c r="A188" s="119">
        <f>A186+1</f>
        <v>154</v>
      </c>
      <c r="B188" s="128" t="s">
        <v>398</v>
      </c>
      <c r="D188" s="118"/>
      <c r="E188" s="118"/>
      <c r="F188" s="117"/>
      <c r="G188" s="121"/>
      <c r="H188" s="124"/>
      <c r="I188" s="124"/>
      <c r="J188" s="118"/>
      <c r="K188" s="118"/>
      <c r="L188" s="118"/>
      <c r="M188" s="118"/>
      <c r="N188" s="118"/>
      <c r="O188" s="118"/>
      <c r="P188" s="118"/>
      <c r="Q188" s="118"/>
      <c r="R188" s="118"/>
      <c r="S188" s="118"/>
      <c r="T188" s="118"/>
      <c r="U188" s="118"/>
      <c r="V188" s="118"/>
      <c r="W188" s="118"/>
      <c r="X188" s="118"/>
      <c r="Y188" s="118"/>
      <c r="Z188" s="118"/>
      <c r="AA188" s="118"/>
      <c r="AB188" s="118"/>
      <c r="AC188" s="118"/>
    </row>
    <row r="189" spans="1:29" ht="12.75" customHeight="1">
      <c r="A189" s="119">
        <f>A188+1</f>
        <v>155</v>
      </c>
      <c r="B189" s="129" t="s">
        <v>397</v>
      </c>
      <c r="C189" s="126"/>
      <c r="D189" s="118">
        <v>0</v>
      </c>
      <c r="E189" s="118"/>
      <c r="F189" s="117"/>
      <c r="G189" s="125"/>
      <c r="H189" s="124"/>
      <c r="I189" s="124"/>
      <c r="J189" s="118"/>
      <c r="K189" s="118"/>
      <c r="L189" s="118"/>
      <c r="M189" s="118"/>
      <c r="N189" s="118"/>
      <c r="O189" s="118"/>
      <c r="P189" s="118"/>
      <c r="Q189" s="118"/>
      <c r="R189" s="118"/>
      <c r="S189" s="118"/>
      <c r="T189" s="118"/>
      <c r="U189" s="118"/>
      <c r="V189" s="118"/>
      <c r="W189" s="118"/>
      <c r="X189" s="118"/>
      <c r="Y189" s="118"/>
      <c r="Z189" s="118"/>
      <c r="AA189" s="118"/>
      <c r="AB189" s="118"/>
      <c r="AC189" s="118"/>
    </row>
    <row r="190" spans="1:29" ht="7.5" customHeight="1">
      <c r="A190" s="119"/>
      <c r="D190" s="118"/>
      <c r="E190" s="118"/>
      <c r="F190" s="117"/>
      <c r="G190" s="121"/>
      <c r="H190" s="124"/>
      <c r="I190" s="124"/>
      <c r="J190" s="118"/>
      <c r="K190" s="118"/>
      <c r="L190" s="118"/>
      <c r="M190" s="118"/>
      <c r="N190" s="118"/>
      <c r="O190" s="118"/>
      <c r="P190" s="118"/>
      <c r="Q190" s="118"/>
      <c r="R190" s="118"/>
      <c r="S190" s="118"/>
      <c r="T190" s="118"/>
      <c r="U190" s="118"/>
      <c r="V190" s="118"/>
      <c r="W190" s="118"/>
      <c r="X190" s="118"/>
      <c r="Y190" s="118"/>
      <c r="Z190" s="118"/>
      <c r="AA190" s="118"/>
      <c r="AB190" s="118"/>
      <c r="AC190" s="118"/>
    </row>
    <row r="191" spans="1:29" ht="12.75" customHeight="1">
      <c r="A191" s="119">
        <f>A189+1</f>
        <v>156</v>
      </c>
      <c r="B191" s="115" t="s">
        <v>396</v>
      </c>
      <c r="C191" s="126"/>
      <c r="D191" s="118"/>
      <c r="E191" s="118"/>
      <c r="F191" s="117"/>
      <c r="G191" s="125"/>
      <c r="H191" s="124"/>
      <c r="I191" s="124"/>
      <c r="J191" s="118"/>
      <c r="K191" s="118"/>
      <c r="L191" s="118"/>
      <c r="M191" s="118"/>
      <c r="N191" s="118"/>
      <c r="O191" s="118"/>
      <c r="P191" s="118"/>
      <c r="Q191" s="118"/>
      <c r="R191" s="118"/>
      <c r="S191" s="118"/>
      <c r="T191" s="118"/>
      <c r="U191" s="118"/>
      <c r="V191" s="118"/>
      <c r="W191" s="118"/>
      <c r="X191" s="118"/>
      <c r="Y191" s="118"/>
      <c r="Z191" s="118"/>
      <c r="AA191" s="118"/>
      <c r="AB191" s="118"/>
      <c r="AC191" s="118"/>
    </row>
    <row r="192" spans="1:29" ht="12.75" customHeight="1">
      <c r="A192" s="119">
        <f>A191+1</f>
        <v>157</v>
      </c>
      <c r="B192" s="129" t="s">
        <v>395</v>
      </c>
      <c r="C192" s="126" t="s">
        <v>394</v>
      </c>
      <c r="D192" s="118">
        <f>'WP 6'!M11</f>
        <v>13488969.750000002</v>
      </c>
      <c r="E192" s="118"/>
      <c r="F192" s="117"/>
      <c r="G192" s="121"/>
      <c r="H192" s="124"/>
      <c r="I192" s="124"/>
      <c r="J192" s="118"/>
      <c r="K192" s="118"/>
      <c r="L192" s="118"/>
      <c r="M192" s="118"/>
      <c r="N192" s="118"/>
      <c r="O192" s="118"/>
      <c r="P192" s="118"/>
      <c r="Q192" s="118"/>
      <c r="R192" s="118"/>
      <c r="S192" s="118"/>
      <c r="T192" s="118"/>
      <c r="U192" s="118"/>
      <c r="V192" s="118"/>
      <c r="W192" s="118"/>
      <c r="X192" s="118"/>
      <c r="Y192" s="118"/>
      <c r="Z192" s="118"/>
      <c r="AA192" s="118"/>
      <c r="AB192" s="118"/>
      <c r="AC192" s="118"/>
    </row>
    <row r="193" spans="1:29" ht="7.5" customHeight="1">
      <c r="A193" s="119"/>
      <c r="D193" s="118"/>
      <c r="E193" s="118"/>
      <c r="F193" s="117"/>
      <c r="G193" s="125"/>
      <c r="H193" s="124"/>
      <c r="I193" s="124"/>
      <c r="J193" s="118"/>
      <c r="K193" s="118"/>
      <c r="L193" s="118"/>
      <c r="M193" s="118"/>
      <c r="N193" s="118"/>
      <c r="O193" s="118"/>
      <c r="P193" s="118"/>
      <c r="Q193" s="118"/>
      <c r="R193" s="118"/>
      <c r="S193" s="118"/>
      <c r="T193" s="118"/>
      <c r="U193" s="118"/>
      <c r="V193" s="118"/>
      <c r="W193" s="118"/>
      <c r="X193" s="118"/>
      <c r="Y193" s="118"/>
      <c r="Z193" s="118"/>
      <c r="AA193" s="118"/>
      <c r="AB193" s="118"/>
      <c r="AC193" s="118"/>
    </row>
    <row r="194" spans="1:29" ht="12.75" customHeight="1">
      <c r="A194" s="119">
        <f>A192+1</f>
        <v>158</v>
      </c>
      <c r="B194" s="128" t="s">
        <v>393</v>
      </c>
      <c r="C194" s="126"/>
      <c r="D194" s="118"/>
      <c r="E194" s="118"/>
      <c r="F194" s="117"/>
      <c r="G194" s="125"/>
      <c r="H194" s="124"/>
      <c r="I194" s="124"/>
      <c r="J194" s="118"/>
      <c r="K194" s="118"/>
      <c r="L194" s="118"/>
      <c r="M194" s="118"/>
      <c r="N194" s="118"/>
      <c r="O194" s="118"/>
      <c r="P194" s="118"/>
      <c r="Q194" s="118"/>
      <c r="R194" s="118"/>
      <c r="S194" s="118"/>
      <c r="T194" s="118"/>
      <c r="U194" s="118"/>
      <c r="V194" s="118"/>
      <c r="W194" s="118"/>
      <c r="X194" s="118"/>
      <c r="Y194" s="118"/>
      <c r="Z194" s="118"/>
      <c r="AA194" s="118"/>
      <c r="AB194" s="118"/>
      <c r="AC194" s="118"/>
    </row>
    <row r="195" spans="1:29" ht="12.75" customHeight="1">
      <c r="A195" s="119">
        <f t="shared" ref="A195:A200" si="6">A194+1</f>
        <v>159</v>
      </c>
      <c r="B195" s="114" t="s">
        <v>392</v>
      </c>
      <c r="C195" s="115" t="s">
        <v>391</v>
      </c>
      <c r="D195" s="118">
        <v>190166</v>
      </c>
      <c r="E195" s="118"/>
      <c r="F195" s="117"/>
      <c r="G195" s="121"/>
      <c r="H195" s="124"/>
      <c r="I195" s="124"/>
      <c r="J195" s="118"/>
      <c r="K195" s="118"/>
      <c r="L195" s="118"/>
      <c r="M195" s="118"/>
      <c r="N195" s="118"/>
      <c r="O195" s="118"/>
      <c r="P195" s="118"/>
      <c r="Q195" s="118"/>
      <c r="R195" s="118"/>
      <c r="S195" s="118"/>
      <c r="T195" s="118"/>
      <c r="U195" s="118"/>
      <c r="V195" s="118"/>
      <c r="W195" s="118"/>
      <c r="X195" s="118"/>
      <c r="Y195" s="118"/>
      <c r="Z195" s="118"/>
      <c r="AA195" s="118"/>
      <c r="AB195" s="118"/>
      <c r="AC195" s="118"/>
    </row>
    <row r="196" spans="1:29" ht="13.2">
      <c r="A196" s="119">
        <f t="shared" si="6"/>
        <v>160</v>
      </c>
      <c r="B196" s="131" t="s">
        <v>370</v>
      </c>
      <c r="C196" s="115" t="s">
        <v>369</v>
      </c>
      <c r="D196" s="118">
        <v>0</v>
      </c>
      <c r="E196" s="118"/>
      <c r="F196" s="117"/>
      <c r="G196" s="121"/>
      <c r="H196" s="124"/>
      <c r="I196" s="118"/>
      <c r="J196" s="118"/>
      <c r="K196" s="118"/>
      <c r="L196" s="118"/>
      <c r="M196" s="118"/>
      <c r="N196" s="118"/>
      <c r="O196" s="118"/>
      <c r="P196" s="118"/>
      <c r="Q196" s="118"/>
      <c r="R196" s="118"/>
      <c r="S196" s="118"/>
      <c r="T196" s="118"/>
      <c r="U196" s="118"/>
      <c r="V196" s="118"/>
      <c r="W196" s="118"/>
      <c r="X196" s="118"/>
      <c r="Y196" s="118"/>
      <c r="Z196" s="118"/>
      <c r="AA196" s="118"/>
      <c r="AB196" s="118"/>
      <c r="AC196" s="118"/>
    </row>
    <row r="197" spans="1:29" ht="12.75" customHeight="1">
      <c r="A197" s="119">
        <f t="shared" si="6"/>
        <v>161</v>
      </c>
      <c r="B197" s="129" t="s">
        <v>390</v>
      </c>
      <c r="C197" s="126" t="s">
        <v>389</v>
      </c>
      <c r="D197" s="118">
        <v>1504287</v>
      </c>
      <c r="E197" s="118"/>
      <c r="F197" s="117"/>
      <c r="G197" s="121"/>
      <c r="H197" s="124"/>
      <c r="I197" s="124"/>
      <c r="J197" s="118"/>
      <c r="K197" s="118"/>
      <c r="L197" s="118"/>
      <c r="M197" s="118"/>
      <c r="N197" s="118"/>
      <c r="O197" s="118"/>
      <c r="P197" s="118"/>
      <c r="Q197" s="118"/>
      <c r="R197" s="118"/>
      <c r="S197" s="118"/>
      <c r="T197" s="118"/>
      <c r="U197" s="118"/>
      <c r="V197" s="118"/>
      <c r="W197" s="118"/>
      <c r="X197" s="118"/>
      <c r="Y197" s="118"/>
      <c r="Z197" s="118"/>
      <c r="AA197" s="118"/>
      <c r="AB197" s="118"/>
      <c r="AC197" s="118"/>
    </row>
    <row r="198" spans="1:29" ht="13.2">
      <c r="A198" s="119">
        <f t="shared" si="6"/>
        <v>162</v>
      </c>
      <c r="B198" s="131" t="s">
        <v>370</v>
      </c>
      <c r="C198" s="115" t="s">
        <v>369</v>
      </c>
      <c r="D198" s="118">
        <f>'WP 15'!H30</f>
        <v>168.91999999999996</v>
      </c>
      <c r="E198" s="118"/>
      <c r="F198" s="117"/>
      <c r="G198" s="121"/>
      <c r="H198" s="124"/>
      <c r="I198" s="118"/>
      <c r="J198" s="118"/>
      <c r="K198" s="118"/>
      <c r="L198" s="118"/>
      <c r="M198" s="118"/>
      <c r="N198" s="118"/>
      <c r="O198" s="118"/>
      <c r="P198" s="118"/>
      <c r="Q198" s="118"/>
      <c r="R198" s="118"/>
      <c r="S198" s="118"/>
      <c r="T198" s="118"/>
      <c r="U198" s="118"/>
      <c r="V198" s="118"/>
      <c r="W198" s="118"/>
      <c r="X198" s="118"/>
      <c r="Y198" s="118"/>
      <c r="Z198" s="118"/>
      <c r="AA198" s="118"/>
      <c r="AB198" s="118"/>
      <c r="AC198" s="118"/>
    </row>
    <row r="199" spans="1:29" ht="12.75" customHeight="1">
      <c r="A199" s="119">
        <f t="shared" si="6"/>
        <v>163</v>
      </c>
      <c r="B199" s="129" t="s">
        <v>388</v>
      </c>
      <c r="C199" s="126" t="s">
        <v>387</v>
      </c>
      <c r="D199" s="118">
        <v>501362</v>
      </c>
      <c r="E199" s="118"/>
      <c r="F199" s="117"/>
      <c r="G199" s="121"/>
      <c r="H199" s="124"/>
      <c r="I199" s="124"/>
      <c r="J199" s="118"/>
      <c r="K199" s="118"/>
      <c r="L199" s="118"/>
      <c r="M199" s="118"/>
      <c r="N199" s="118"/>
      <c r="O199" s="118"/>
      <c r="P199" s="118"/>
      <c r="Q199" s="118"/>
      <c r="R199" s="118"/>
      <c r="S199" s="118"/>
      <c r="T199" s="118"/>
      <c r="U199" s="118"/>
      <c r="V199" s="118"/>
      <c r="W199" s="118"/>
      <c r="X199" s="118"/>
      <c r="Y199" s="118"/>
      <c r="Z199" s="118"/>
      <c r="AA199" s="118"/>
      <c r="AB199" s="118"/>
      <c r="AC199" s="118"/>
    </row>
    <row r="200" spans="1:29" ht="13.2">
      <c r="A200" s="119">
        <f t="shared" si="6"/>
        <v>164</v>
      </c>
      <c r="B200" s="131" t="s">
        <v>370</v>
      </c>
      <c r="C200" s="115" t="s">
        <v>369</v>
      </c>
      <c r="D200" s="130">
        <f>'WP 15'!H31</f>
        <v>23.190000000000005</v>
      </c>
      <c r="E200" s="118"/>
      <c r="F200" s="117"/>
      <c r="G200" s="121"/>
      <c r="H200" s="124"/>
      <c r="I200" s="118"/>
      <c r="J200" s="118"/>
      <c r="K200" s="118"/>
      <c r="L200" s="118"/>
      <c r="M200" s="118"/>
      <c r="N200" s="118"/>
      <c r="O200" s="118"/>
      <c r="P200" s="118"/>
      <c r="Q200" s="118"/>
      <c r="R200" s="118"/>
      <c r="S200" s="118"/>
      <c r="T200" s="118"/>
      <c r="U200" s="118"/>
      <c r="V200" s="118"/>
      <c r="W200" s="118"/>
      <c r="X200" s="118"/>
      <c r="Y200" s="118"/>
      <c r="Z200" s="118"/>
      <c r="AA200" s="118"/>
      <c r="AB200" s="118"/>
      <c r="AC200" s="118"/>
    </row>
    <row r="201" spans="1:29" ht="12.75" customHeight="1">
      <c r="A201" s="119">
        <f>A202+1</f>
        <v>166</v>
      </c>
      <c r="B201" s="129" t="s">
        <v>385</v>
      </c>
      <c r="C201" s="115" t="str">
        <f>"Sum (L"&amp;A195&amp;" - L"&amp;A202&amp;")"</f>
        <v>Sum (L159 - L165)</v>
      </c>
      <c r="D201" s="118">
        <f>SUM(D195:D200)</f>
        <v>2196007.11</v>
      </c>
      <c r="E201" s="118"/>
      <c r="F201" s="117"/>
      <c r="G201" s="121"/>
      <c r="H201" s="124"/>
      <c r="I201" s="124"/>
      <c r="J201" s="118"/>
      <c r="K201" s="118"/>
      <c r="L201" s="118"/>
      <c r="M201" s="118"/>
      <c r="N201" s="118"/>
      <c r="O201" s="118"/>
      <c r="P201" s="118"/>
      <c r="Q201" s="118"/>
      <c r="R201" s="118"/>
      <c r="S201" s="118"/>
      <c r="T201" s="118"/>
      <c r="U201" s="118"/>
      <c r="V201" s="118"/>
      <c r="W201" s="118"/>
      <c r="X201" s="118"/>
      <c r="Y201" s="118"/>
      <c r="Z201" s="118"/>
      <c r="AA201" s="118"/>
      <c r="AB201" s="118"/>
      <c r="AC201" s="118"/>
    </row>
    <row r="202" spans="1:29" ht="12.75" customHeight="1">
      <c r="A202" s="119">
        <f>A200+1</f>
        <v>165</v>
      </c>
      <c r="B202" s="129" t="s">
        <v>386</v>
      </c>
      <c r="C202" s="115" t="s">
        <v>484</v>
      </c>
      <c r="D202" s="124">
        <f>+'WP 17'!G14</f>
        <v>4357.4472891654195</v>
      </c>
      <c r="E202" s="118"/>
      <c r="F202" s="117"/>
      <c r="G202" s="121"/>
      <c r="H202" s="124"/>
      <c r="I202" s="124"/>
      <c r="J202" s="118"/>
      <c r="K202" s="118"/>
      <c r="L202" s="118"/>
      <c r="M202" s="118"/>
      <c r="N202" s="118"/>
      <c r="O202" s="118"/>
      <c r="P202" s="118"/>
      <c r="Q202" s="118"/>
      <c r="R202" s="118"/>
      <c r="S202" s="118"/>
      <c r="T202" s="118"/>
      <c r="U202" s="118"/>
      <c r="V202" s="118"/>
      <c r="W202" s="118"/>
      <c r="X202" s="118"/>
      <c r="Y202" s="118"/>
      <c r="Z202" s="118"/>
      <c r="AA202" s="118"/>
      <c r="AB202" s="118"/>
      <c r="AC202" s="118"/>
    </row>
    <row r="203" spans="1:29" ht="12.75" customHeight="1">
      <c r="A203" s="119"/>
      <c r="D203" s="118"/>
      <c r="E203" s="118"/>
      <c r="F203" s="117"/>
      <c r="G203" s="121"/>
      <c r="H203" s="124"/>
      <c r="I203" s="124"/>
      <c r="J203" s="118"/>
      <c r="K203" s="118"/>
      <c r="L203" s="118"/>
      <c r="M203" s="118"/>
      <c r="N203" s="118"/>
      <c r="O203" s="118"/>
      <c r="P203" s="118"/>
      <c r="Q203" s="118"/>
      <c r="R203" s="118"/>
      <c r="S203" s="118"/>
      <c r="T203" s="118"/>
      <c r="U203" s="118"/>
      <c r="V203" s="118"/>
      <c r="W203" s="118"/>
      <c r="X203" s="118"/>
      <c r="Y203" s="118"/>
      <c r="Z203" s="118"/>
      <c r="AA203" s="118"/>
      <c r="AB203" s="118"/>
      <c r="AC203" s="118"/>
    </row>
    <row r="204" spans="1:29" ht="12.75" customHeight="1">
      <c r="A204" s="119">
        <f>A201+1</f>
        <v>167</v>
      </c>
      <c r="B204" s="128" t="s">
        <v>384</v>
      </c>
      <c r="C204" s="126"/>
      <c r="D204" s="118"/>
      <c r="E204" s="118"/>
      <c r="F204" s="117"/>
      <c r="G204" s="121"/>
      <c r="H204" s="124"/>
      <c r="I204" s="124"/>
      <c r="J204" s="118"/>
      <c r="K204" s="118"/>
      <c r="L204" s="118"/>
      <c r="M204" s="118"/>
      <c r="N204" s="118"/>
      <c r="O204" s="118"/>
      <c r="P204" s="118"/>
      <c r="Q204" s="118"/>
      <c r="R204" s="118"/>
      <c r="S204" s="118"/>
      <c r="T204" s="118"/>
      <c r="U204" s="118"/>
      <c r="V204" s="118"/>
      <c r="W204" s="118"/>
      <c r="X204" s="118"/>
      <c r="Y204" s="118"/>
      <c r="Z204" s="118"/>
      <c r="AA204" s="118"/>
      <c r="AB204" s="118"/>
      <c r="AC204" s="118"/>
    </row>
    <row r="205" spans="1:29" ht="12.75" customHeight="1">
      <c r="A205" s="119">
        <f t="shared" ref="A205:A210" si="7">A204+1</f>
        <v>168</v>
      </c>
      <c r="B205" s="131" t="s">
        <v>383</v>
      </c>
      <c r="C205" s="115" t="s">
        <v>382</v>
      </c>
      <c r="D205" s="118">
        <v>17419599</v>
      </c>
      <c r="E205" s="118"/>
      <c r="F205" s="117"/>
      <c r="G205" s="121"/>
      <c r="H205" s="124"/>
      <c r="I205" s="124"/>
      <c r="J205" s="118"/>
      <c r="K205" s="118"/>
      <c r="L205" s="118"/>
      <c r="M205" s="118"/>
      <c r="N205" s="118"/>
      <c r="O205" s="118"/>
      <c r="P205" s="118"/>
      <c r="Q205" s="118"/>
      <c r="R205" s="118"/>
      <c r="S205" s="118"/>
      <c r="T205" s="118"/>
      <c r="U205" s="118"/>
      <c r="V205" s="118"/>
      <c r="W205" s="118"/>
      <c r="X205" s="118"/>
      <c r="Y205" s="118"/>
      <c r="Z205" s="118"/>
      <c r="AA205" s="118"/>
      <c r="AB205" s="118"/>
      <c r="AC205" s="118"/>
    </row>
    <row r="206" spans="1:29" ht="13.2">
      <c r="A206" s="119">
        <f t="shared" si="7"/>
        <v>169</v>
      </c>
      <c r="B206" s="137" t="s">
        <v>370</v>
      </c>
      <c r="C206" s="115" t="s">
        <v>369</v>
      </c>
      <c r="D206" s="118">
        <f>-'WP 15'!C56</f>
        <v>-589671.56000000029</v>
      </c>
      <c r="E206" s="118"/>
      <c r="F206" s="117"/>
      <c r="G206" s="121"/>
      <c r="H206" s="124"/>
      <c r="I206" s="124"/>
      <c r="J206" s="118"/>
      <c r="K206" s="118"/>
      <c r="L206" s="118"/>
      <c r="M206" s="118"/>
      <c r="N206" s="118"/>
      <c r="O206" s="118"/>
      <c r="P206" s="118"/>
      <c r="Q206" s="118"/>
      <c r="R206" s="118"/>
      <c r="S206" s="118"/>
      <c r="T206" s="118"/>
      <c r="U206" s="118"/>
      <c r="V206" s="118"/>
      <c r="W206" s="118"/>
      <c r="X206" s="118"/>
      <c r="Y206" s="118"/>
      <c r="Z206" s="118"/>
      <c r="AA206" s="118"/>
      <c r="AB206" s="118"/>
      <c r="AC206" s="118"/>
    </row>
    <row r="207" spans="1:29" ht="13.2">
      <c r="A207" s="119">
        <f t="shared" si="7"/>
        <v>170</v>
      </c>
      <c r="B207" s="136" t="s">
        <v>368</v>
      </c>
      <c r="C207" s="126" t="s">
        <v>367</v>
      </c>
      <c r="D207" s="118">
        <f>-'WP 16'!E32</f>
        <v>-11425.749999999998</v>
      </c>
      <c r="E207" s="118"/>
      <c r="F207" s="117"/>
      <c r="G207" s="121"/>
      <c r="H207" s="124"/>
      <c r="I207" s="124"/>
      <c r="J207" s="118"/>
      <c r="K207" s="118"/>
      <c r="L207" s="118"/>
      <c r="M207" s="118"/>
      <c r="N207" s="118"/>
      <c r="O207" s="118"/>
      <c r="P207" s="118"/>
      <c r="Q207" s="118"/>
      <c r="R207" s="118"/>
      <c r="S207" s="118"/>
      <c r="T207" s="118"/>
      <c r="U207" s="118"/>
      <c r="V207" s="118"/>
      <c r="W207" s="118"/>
      <c r="X207" s="118"/>
      <c r="Y207" s="118"/>
      <c r="Z207" s="118"/>
      <c r="AA207" s="118"/>
      <c r="AB207" s="118"/>
      <c r="AC207" s="118"/>
    </row>
    <row r="208" spans="1:29" ht="12.75" customHeight="1">
      <c r="A208" s="119">
        <f t="shared" si="7"/>
        <v>171</v>
      </c>
      <c r="B208" s="132" t="s">
        <v>376</v>
      </c>
      <c r="C208" s="115" t="s">
        <v>362</v>
      </c>
      <c r="D208" s="118">
        <v>6172728</v>
      </c>
      <c r="E208" s="118"/>
      <c r="F208" s="117"/>
      <c r="G208" s="121"/>
      <c r="H208" s="124"/>
      <c r="I208" s="124"/>
      <c r="J208" s="118"/>
      <c r="K208" s="118"/>
      <c r="L208" s="118"/>
      <c r="M208" s="118"/>
      <c r="N208" s="118"/>
      <c r="O208" s="118"/>
      <c r="P208" s="118"/>
      <c r="Q208" s="118"/>
      <c r="R208" s="118"/>
      <c r="S208" s="118"/>
      <c r="T208" s="118"/>
      <c r="U208" s="118"/>
      <c r="V208" s="118"/>
      <c r="W208" s="118"/>
      <c r="X208" s="118"/>
      <c r="Y208" s="118"/>
      <c r="Z208" s="118"/>
      <c r="AA208" s="118"/>
      <c r="AB208" s="118"/>
      <c r="AC208" s="118"/>
    </row>
    <row r="209" spans="1:29" ht="12.75" customHeight="1">
      <c r="A209" s="119">
        <f t="shared" si="7"/>
        <v>172</v>
      </c>
      <c r="B209" s="131" t="s">
        <v>381</v>
      </c>
      <c r="C209" s="115" t="s">
        <v>362</v>
      </c>
      <c r="D209" s="130">
        <v>0</v>
      </c>
      <c r="E209" s="118"/>
      <c r="F209" s="117"/>
      <c r="G209" s="121"/>
      <c r="H209" s="124"/>
      <c r="I209" s="124"/>
      <c r="J209" s="118"/>
      <c r="K209" s="116"/>
      <c r="L209" s="118"/>
      <c r="M209" s="118"/>
      <c r="N209" s="118"/>
      <c r="O209" s="118"/>
      <c r="P209" s="118"/>
      <c r="Q209" s="118"/>
      <c r="R209" s="118"/>
      <c r="S209" s="118"/>
      <c r="T209" s="118"/>
      <c r="U209" s="118"/>
      <c r="V209" s="118"/>
      <c r="W209" s="118"/>
      <c r="X209" s="118"/>
      <c r="Y209" s="118"/>
      <c r="Z209" s="118"/>
      <c r="AA209" s="118"/>
      <c r="AB209" s="118"/>
      <c r="AC209" s="118"/>
    </row>
    <row r="210" spans="1:29" ht="12.75" customHeight="1">
      <c r="A210" s="119">
        <f t="shared" si="7"/>
        <v>173</v>
      </c>
      <c r="B210" s="129" t="s">
        <v>380</v>
      </c>
      <c r="C210" s="115" t="str">
        <f>"Sum (L"&amp;A205&amp;" - L"&amp;A209&amp;")"</f>
        <v>Sum (L168 - L172)</v>
      </c>
      <c r="D210" s="118">
        <f>SUM(D205:D209)</f>
        <v>22991229.690000001</v>
      </c>
      <c r="E210" s="118"/>
      <c r="F210" s="117"/>
      <c r="G210" s="121"/>
      <c r="H210" s="124"/>
      <c r="I210" s="124"/>
      <c r="J210" s="118"/>
      <c r="K210" s="118"/>
      <c r="L210" s="118"/>
      <c r="M210" s="118"/>
      <c r="N210" s="118"/>
      <c r="O210" s="118"/>
      <c r="P210" s="118"/>
      <c r="Q210" s="118"/>
      <c r="R210" s="118"/>
      <c r="S210" s="118"/>
      <c r="T210" s="118"/>
      <c r="U210" s="118"/>
      <c r="V210" s="118"/>
      <c r="W210" s="118"/>
      <c r="X210" s="118"/>
      <c r="Y210" s="118"/>
      <c r="Z210" s="118"/>
      <c r="AA210" s="118"/>
      <c r="AB210" s="118"/>
      <c r="AC210" s="118"/>
    </row>
    <row r="211" spans="1:29" ht="3" customHeight="1">
      <c r="A211" s="119"/>
      <c r="B211" s="129"/>
      <c r="D211" s="118"/>
      <c r="E211" s="118"/>
      <c r="F211" s="117"/>
      <c r="G211" s="121"/>
      <c r="H211" s="124"/>
      <c r="I211" s="124"/>
      <c r="J211" s="118"/>
      <c r="K211" s="118"/>
      <c r="L211" s="118"/>
      <c r="M211" s="118"/>
      <c r="N211" s="118"/>
      <c r="O211" s="118"/>
      <c r="P211" s="118"/>
      <c r="Q211" s="118"/>
      <c r="R211" s="118"/>
      <c r="S211" s="118"/>
      <c r="T211" s="118"/>
      <c r="U211" s="118"/>
      <c r="V211" s="118"/>
      <c r="W211" s="118"/>
      <c r="X211" s="118"/>
      <c r="Y211" s="118"/>
      <c r="Z211" s="118"/>
      <c r="AA211" s="118"/>
      <c r="AB211" s="118"/>
      <c r="AC211" s="118"/>
    </row>
    <row r="212" spans="1:29" ht="12.75" customHeight="1">
      <c r="A212" s="119">
        <f>A210+1</f>
        <v>174</v>
      </c>
      <c r="B212" s="131" t="s">
        <v>41</v>
      </c>
      <c r="C212" s="126" t="s">
        <v>379</v>
      </c>
      <c r="D212" s="118">
        <v>3137051</v>
      </c>
      <c r="E212" s="118"/>
      <c r="F212" s="117"/>
      <c r="G212" s="121"/>
      <c r="H212" s="124"/>
      <c r="I212" s="124"/>
      <c r="J212" s="118"/>
      <c r="K212" s="118"/>
      <c r="L212" s="118"/>
      <c r="M212" s="118"/>
      <c r="N212" s="118"/>
      <c r="O212" s="118"/>
      <c r="P212" s="118"/>
      <c r="Q212" s="118"/>
      <c r="R212" s="118"/>
      <c r="S212" s="118"/>
      <c r="T212" s="118"/>
      <c r="U212" s="118"/>
      <c r="V212" s="118"/>
      <c r="W212" s="118"/>
      <c r="X212" s="118"/>
      <c r="Y212" s="118"/>
      <c r="Z212" s="118"/>
      <c r="AA212" s="118"/>
      <c r="AB212" s="118"/>
      <c r="AC212" s="118"/>
    </row>
    <row r="213" spans="1:29" ht="13.2">
      <c r="A213" s="119">
        <f>A212+1</f>
        <v>175</v>
      </c>
      <c r="B213" s="137" t="s">
        <v>370</v>
      </c>
      <c r="C213" s="115" t="s">
        <v>369</v>
      </c>
      <c r="D213" s="118">
        <f>-'WP 15'!C57</f>
        <v>-159273.02999999997</v>
      </c>
      <c r="E213" s="118"/>
      <c r="F213" s="117"/>
      <c r="G213" s="121"/>
      <c r="H213" s="124"/>
      <c r="I213" s="124"/>
      <c r="J213" s="118"/>
      <c r="K213" s="118"/>
      <c r="L213" s="118"/>
      <c r="M213" s="118"/>
      <c r="N213" s="118"/>
      <c r="O213" s="118"/>
      <c r="P213" s="118"/>
      <c r="Q213" s="118"/>
      <c r="R213" s="118"/>
      <c r="S213" s="118"/>
      <c r="T213" s="118"/>
      <c r="U213" s="118"/>
      <c r="V213" s="118"/>
      <c r="W213" s="118"/>
      <c r="X213" s="118"/>
      <c r="Y213" s="118"/>
      <c r="Z213" s="118"/>
      <c r="AA213" s="118"/>
      <c r="AB213" s="118"/>
      <c r="AC213" s="118"/>
    </row>
    <row r="214" spans="1:29" ht="13.2">
      <c r="A214" s="119">
        <f>A213+1</f>
        <v>176</v>
      </c>
      <c r="B214" s="136" t="s">
        <v>368</v>
      </c>
      <c r="C214" s="126" t="s">
        <v>367</v>
      </c>
      <c r="D214" s="118">
        <f>-'WP 16'!E40</f>
        <v>-274143.17</v>
      </c>
      <c r="E214" s="118"/>
      <c r="F214" s="117"/>
      <c r="G214" s="121"/>
      <c r="H214" s="124"/>
      <c r="I214" s="124"/>
      <c r="J214" s="118"/>
      <c r="K214" s="118"/>
      <c r="L214" s="118"/>
      <c r="M214" s="118"/>
      <c r="N214" s="118"/>
      <c r="O214" s="118"/>
      <c r="P214" s="118"/>
      <c r="Q214" s="118"/>
      <c r="R214" s="118"/>
      <c r="S214" s="118"/>
      <c r="T214" s="118"/>
      <c r="U214" s="118"/>
      <c r="V214" s="118"/>
      <c r="W214" s="118"/>
      <c r="X214" s="118"/>
      <c r="Y214" s="118"/>
      <c r="Z214" s="118"/>
      <c r="AA214" s="118"/>
      <c r="AB214" s="118"/>
      <c r="AC214" s="118"/>
    </row>
    <row r="215" spans="1:29" ht="12.75" customHeight="1">
      <c r="A215" s="119">
        <f>A214+1</f>
        <v>177</v>
      </c>
      <c r="B215" s="132" t="s">
        <v>376</v>
      </c>
      <c r="C215" s="115" t="s">
        <v>362</v>
      </c>
      <c r="D215" s="130">
        <v>3606164</v>
      </c>
      <c r="E215" s="118"/>
      <c r="F215" s="117"/>
      <c r="G215" s="121"/>
      <c r="H215" s="124"/>
      <c r="I215" s="124"/>
      <c r="J215" s="118"/>
      <c r="K215" s="118"/>
      <c r="L215" s="118"/>
      <c r="M215" s="118"/>
      <c r="N215" s="118"/>
      <c r="O215" s="118"/>
      <c r="P215" s="118"/>
      <c r="Q215" s="118"/>
      <c r="R215" s="118"/>
      <c r="S215" s="118"/>
      <c r="T215" s="118"/>
      <c r="U215" s="118"/>
      <c r="V215" s="118"/>
      <c r="W215" s="118"/>
      <c r="X215" s="118"/>
      <c r="Y215" s="118"/>
      <c r="Z215" s="118"/>
      <c r="AA215" s="118"/>
      <c r="AB215" s="118"/>
      <c r="AC215" s="118"/>
    </row>
    <row r="216" spans="1:29" ht="12.75" customHeight="1">
      <c r="A216" s="119">
        <f>A215+1</f>
        <v>178</v>
      </c>
      <c r="B216" s="127" t="s">
        <v>378</v>
      </c>
      <c r="C216" s="115" t="str">
        <f>"Sum (L"&amp;A212&amp;" - L"&amp;A215&amp;")"</f>
        <v>Sum (L174 - L177)</v>
      </c>
      <c r="D216" s="118">
        <f>SUM(D212:D215)</f>
        <v>6309798.8000000007</v>
      </c>
      <c r="E216" s="118"/>
      <c r="F216" s="117"/>
      <c r="G216" s="121"/>
      <c r="H216" s="124"/>
      <c r="I216" s="124"/>
      <c r="J216" s="118"/>
      <c r="K216" s="118"/>
      <c r="L216" s="118"/>
      <c r="M216" s="118"/>
      <c r="N216" s="118"/>
      <c r="O216" s="124"/>
      <c r="P216" s="124"/>
      <c r="Q216" s="124"/>
      <c r="R216" s="124"/>
      <c r="S216" s="124"/>
      <c r="T216" s="124"/>
      <c r="U216" s="124"/>
      <c r="V216" s="124"/>
      <c r="W216" s="124"/>
      <c r="X216" s="124"/>
      <c r="Y216" s="124"/>
      <c r="Z216" s="124"/>
      <c r="AA216" s="124"/>
      <c r="AB216" s="118"/>
      <c r="AC216" s="118"/>
    </row>
    <row r="217" spans="1:29" ht="3" customHeight="1">
      <c r="A217" s="119"/>
      <c r="B217" s="127"/>
      <c r="D217" s="118"/>
      <c r="E217" s="118"/>
      <c r="F217" s="117"/>
      <c r="G217" s="125"/>
      <c r="H217" s="124"/>
      <c r="I217" s="124"/>
      <c r="J217" s="118"/>
      <c r="K217" s="118"/>
      <c r="L217" s="118"/>
      <c r="M217" s="118"/>
      <c r="N217" s="118"/>
      <c r="O217" s="124"/>
      <c r="P217" s="124"/>
      <c r="Q217" s="124"/>
      <c r="R217" s="124"/>
      <c r="S217" s="124"/>
      <c r="T217" s="124"/>
      <c r="U217" s="124"/>
      <c r="V217" s="124"/>
      <c r="W217" s="124"/>
      <c r="X217" s="124"/>
      <c r="Y217" s="124"/>
      <c r="Z217" s="124"/>
      <c r="AA217" s="124"/>
      <c r="AB217" s="118"/>
      <c r="AC217" s="118"/>
    </row>
    <row r="218" spans="1:29" ht="12.75" customHeight="1">
      <c r="A218" s="119">
        <f>A216+1</f>
        <v>179</v>
      </c>
      <c r="B218" s="131" t="s">
        <v>42</v>
      </c>
      <c r="C218" s="126" t="s">
        <v>377</v>
      </c>
      <c r="D218" s="118">
        <v>10134679</v>
      </c>
      <c r="E218" s="118"/>
      <c r="F218" s="117"/>
      <c r="G218" s="125"/>
      <c r="H218" s="124"/>
      <c r="I218" s="124"/>
      <c r="J218" s="118"/>
      <c r="K218" s="118"/>
      <c r="L218" s="118"/>
      <c r="M218" s="118"/>
      <c r="N218" s="118"/>
      <c r="O218" s="124"/>
      <c r="P218" s="124"/>
      <c r="Q218" s="124"/>
      <c r="R218" s="124"/>
      <c r="S218" s="124"/>
      <c r="T218" s="124"/>
      <c r="U218" s="124"/>
      <c r="V218" s="124"/>
      <c r="W218" s="124"/>
      <c r="X218" s="124"/>
      <c r="Y218" s="124"/>
      <c r="Z218" s="124"/>
      <c r="AA218" s="124"/>
      <c r="AB218" s="118"/>
      <c r="AC218" s="118"/>
    </row>
    <row r="219" spans="1:29" ht="13.2">
      <c r="A219" s="119">
        <f>A218+1</f>
        <v>180</v>
      </c>
      <c r="B219" s="136" t="s">
        <v>368</v>
      </c>
      <c r="C219" s="126" t="s">
        <v>367</v>
      </c>
      <c r="D219" s="118">
        <f>-'WP 16'!E42</f>
        <v>-72796.55</v>
      </c>
      <c r="E219" s="118"/>
      <c r="F219" s="117"/>
      <c r="G219" s="121"/>
      <c r="H219" s="124"/>
      <c r="I219" s="124"/>
      <c r="J219" s="118"/>
      <c r="K219" s="118"/>
      <c r="L219" s="118"/>
      <c r="M219" s="118"/>
      <c r="N219" s="118"/>
      <c r="O219" s="118"/>
      <c r="P219" s="118"/>
      <c r="Q219" s="118"/>
      <c r="R219" s="118"/>
      <c r="S219" s="118"/>
      <c r="T219" s="118"/>
      <c r="U219" s="118"/>
      <c r="V219" s="118"/>
      <c r="W219" s="118"/>
      <c r="X219" s="118"/>
      <c r="Y219" s="118"/>
      <c r="Z219" s="118"/>
      <c r="AA219" s="118"/>
      <c r="AB219" s="118"/>
      <c r="AC219" s="118"/>
    </row>
    <row r="220" spans="1:29" ht="12.75" customHeight="1">
      <c r="A220" s="119">
        <f>A219+1</f>
        <v>181</v>
      </c>
      <c r="B220" s="132" t="s">
        <v>376</v>
      </c>
      <c r="C220" s="115" t="s">
        <v>362</v>
      </c>
      <c r="D220" s="130">
        <v>1465732</v>
      </c>
      <c r="E220" s="118"/>
      <c r="F220" s="117"/>
      <c r="G220" s="121"/>
      <c r="H220" s="124"/>
      <c r="I220" s="124"/>
      <c r="J220" s="118"/>
      <c r="K220" s="118"/>
      <c r="L220" s="118"/>
      <c r="M220" s="118"/>
      <c r="N220" s="118"/>
      <c r="O220" s="124"/>
      <c r="P220" s="124"/>
      <c r="Q220" s="124"/>
      <c r="R220" s="124"/>
      <c r="S220" s="124"/>
      <c r="T220" s="124"/>
      <c r="U220" s="124"/>
      <c r="V220" s="124"/>
      <c r="W220" s="124"/>
      <c r="X220" s="124"/>
      <c r="Y220" s="124"/>
      <c r="Z220" s="124"/>
      <c r="AA220" s="124"/>
      <c r="AB220" s="118"/>
      <c r="AC220" s="118"/>
    </row>
    <row r="221" spans="1:29" ht="12.75" customHeight="1">
      <c r="A221" s="119">
        <f>A220+1</f>
        <v>182</v>
      </c>
      <c r="B221" s="127" t="s">
        <v>375</v>
      </c>
      <c r="C221" s="115" t="str">
        <f>"Sum (L"&amp;A218&amp;" - L"&amp;A220&amp;")"</f>
        <v>Sum (L179 - L181)</v>
      </c>
      <c r="D221" s="118">
        <f>SUM(D218:D220)</f>
        <v>11527614.449999999</v>
      </c>
      <c r="E221" s="118"/>
      <c r="F221" s="117"/>
      <c r="G221" s="121"/>
      <c r="H221" s="124"/>
      <c r="I221" s="124"/>
      <c r="J221" s="118"/>
      <c r="K221" s="118"/>
      <c r="L221" s="118"/>
      <c r="M221" s="118"/>
      <c r="N221" s="118"/>
      <c r="O221" s="124"/>
      <c r="P221" s="124"/>
      <c r="Q221" s="124"/>
      <c r="R221" s="124"/>
      <c r="S221" s="124"/>
      <c r="T221" s="124"/>
      <c r="U221" s="124"/>
      <c r="V221" s="124"/>
      <c r="W221" s="124"/>
      <c r="X221" s="124"/>
      <c r="Y221" s="124"/>
      <c r="Z221" s="124"/>
      <c r="AA221" s="124"/>
      <c r="AB221" s="118"/>
      <c r="AC221" s="118"/>
    </row>
    <row r="222" spans="1:29" ht="3" customHeight="1">
      <c r="A222" s="119"/>
      <c r="B222" s="127"/>
      <c r="C222" s="126"/>
      <c r="D222" s="118"/>
      <c r="E222" s="118"/>
      <c r="F222" s="117"/>
      <c r="G222" s="121"/>
      <c r="H222" s="124"/>
      <c r="I222" s="124"/>
      <c r="J222" s="118"/>
      <c r="K222" s="118"/>
      <c r="L222" s="118"/>
      <c r="M222" s="118"/>
      <c r="N222" s="118"/>
      <c r="O222" s="124"/>
      <c r="P222" s="124"/>
      <c r="Q222" s="124"/>
      <c r="R222" s="124"/>
      <c r="S222" s="124"/>
      <c r="T222" s="124"/>
      <c r="U222" s="124"/>
      <c r="V222" s="124"/>
      <c r="W222" s="124"/>
      <c r="X222" s="124"/>
      <c r="Y222" s="124"/>
      <c r="Z222" s="124"/>
      <c r="AA222" s="124"/>
      <c r="AB222" s="118"/>
      <c r="AC222" s="118"/>
    </row>
    <row r="223" spans="1:29" ht="12.75" customHeight="1">
      <c r="A223" s="119">
        <f>A221+1</f>
        <v>183</v>
      </c>
      <c r="B223" s="131" t="s">
        <v>193</v>
      </c>
      <c r="C223" s="126" t="s">
        <v>374</v>
      </c>
      <c r="D223" s="124">
        <v>3085750</v>
      </c>
      <c r="E223" s="118"/>
      <c r="F223" s="117"/>
      <c r="G223" s="121"/>
      <c r="H223" s="124"/>
      <c r="I223" s="124"/>
      <c r="J223" s="118"/>
      <c r="K223" s="118"/>
      <c r="L223" s="118"/>
      <c r="M223" s="118"/>
      <c r="N223" s="118"/>
      <c r="O223" s="124"/>
      <c r="P223" s="124"/>
      <c r="Q223" s="124"/>
      <c r="R223" s="124"/>
      <c r="S223" s="124"/>
      <c r="T223" s="124"/>
      <c r="U223" s="124"/>
      <c r="V223" s="124"/>
      <c r="W223" s="124"/>
      <c r="X223" s="124"/>
      <c r="Y223" s="124"/>
      <c r="Z223" s="124"/>
      <c r="AA223" s="124"/>
      <c r="AB223" s="118"/>
      <c r="AC223" s="118"/>
    </row>
    <row r="224" spans="1:29" ht="13.2">
      <c r="A224" s="119">
        <f t="shared" ref="A224:A232" si="8">A223+1</f>
        <v>184</v>
      </c>
      <c r="B224" s="137" t="s">
        <v>370</v>
      </c>
      <c r="C224" s="115" t="s">
        <v>369</v>
      </c>
      <c r="D224" s="118">
        <f>-'WP 15'!C58</f>
        <v>-26.430000000000003</v>
      </c>
      <c r="E224" s="118"/>
      <c r="F224" s="117"/>
      <c r="G224" s="121"/>
      <c r="H224" s="124"/>
      <c r="I224" s="124"/>
      <c r="J224" s="118"/>
      <c r="K224" s="118"/>
      <c r="L224" s="118"/>
      <c r="M224" s="118"/>
      <c r="N224" s="118"/>
      <c r="O224" s="118"/>
      <c r="P224" s="118"/>
      <c r="Q224" s="118"/>
      <c r="R224" s="118"/>
      <c r="S224" s="118"/>
      <c r="T224" s="118"/>
      <c r="U224" s="118"/>
      <c r="V224" s="118"/>
      <c r="W224" s="118"/>
      <c r="X224" s="118"/>
      <c r="Y224" s="118"/>
      <c r="Z224" s="118"/>
      <c r="AA224" s="118"/>
      <c r="AB224" s="118"/>
      <c r="AC224" s="118"/>
    </row>
    <row r="225" spans="1:29" ht="13.2">
      <c r="A225" s="119">
        <f>+A224+1</f>
        <v>185</v>
      </c>
      <c r="B225" s="136" t="s">
        <v>368</v>
      </c>
      <c r="C225" s="126" t="s">
        <v>367</v>
      </c>
      <c r="D225" s="118">
        <f>'WP 16'!E43*-1</f>
        <v>-44.41</v>
      </c>
      <c r="E225" s="118"/>
      <c r="F225" s="117"/>
      <c r="G225" s="121"/>
      <c r="H225" s="124"/>
      <c r="I225" s="124"/>
      <c r="J225" s="118"/>
      <c r="K225" s="118"/>
      <c r="L225" s="118"/>
      <c r="M225" s="118"/>
      <c r="N225" s="118"/>
      <c r="O225" s="118"/>
      <c r="P225" s="118"/>
      <c r="Q225" s="118"/>
      <c r="R225" s="118"/>
      <c r="S225" s="118"/>
      <c r="T225" s="118"/>
      <c r="U225" s="118"/>
      <c r="V225" s="118"/>
      <c r="W225" s="118"/>
      <c r="X225" s="118"/>
      <c r="Y225" s="118"/>
      <c r="Z225" s="118"/>
      <c r="AA225" s="118"/>
      <c r="AB225" s="118"/>
      <c r="AC225" s="118"/>
    </row>
    <row r="226" spans="1:29" ht="12.75" customHeight="1">
      <c r="A226" s="119">
        <f>+A225+1</f>
        <v>186</v>
      </c>
      <c r="B226" s="132" t="s">
        <v>373</v>
      </c>
      <c r="C226" s="115" t="s">
        <v>362</v>
      </c>
      <c r="D226" s="124">
        <v>5330602</v>
      </c>
      <c r="E226" s="118"/>
      <c r="F226" s="117"/>
      <c r="G226" s="121"/>
      <c r="H226" s="124"/>
      <c r="I226" s="124"/>
      <c r="J226" s="118"/>
      <c r="K226" s="118"/>
      <c r="L226" s="118"/>
      <c r="M226" s="118"/>
      <c r="N226" s="118"/>
      <c r="O226" s="124"/>
      <c r="P226" s="124"/>
      <c r="Q226" s="124"/>
      <c r="R226" s="124"/>
      <c r="S226" s="124"/>
      <c r="T226" s="124"/>
      <c r="U226" s="124"/>
      <c r="V226" s="124"/>
      <c r="W226" s="124"/>
      <c r="X226" s="124"/>
      <c r="Y226" s="124"/>
      <c r="Z226" s="124"/>
      <c r="AA226" s="124"/>
      <c r="AB226" s="118"/>
      <c r="AC226" s="118"/>
    </row>
    <row r="227" spans="1:29" ht="12.75" customHeight="1">
      <c r="A227" s="119">
        <f t="shared" si="8"/>
        <v>187</v>
      </c>
      <c r="B227" s="131" t="s">
        <v>372</v>
      </c>
      <c r="C227" s="126" t="s">
        <v>371</v>
      </c>
      <c r="D227" s="124">
        <v>2056727</v>
      </c>
      <c r="E227" s="118"/>
      <c r="F227" s="117"/>
      <c r="G227" s="121"/>
      <c r="H227" s="124"/>
      <c r="I227" s="124"/>
      <c r="J227" s="118"/>
      <c r="K227" s="118"/>
      <c r="L227" s="118"/>
      <c r="M227" s="118"/>
      <c r="N227" s="118"/>
      <c r="O227" s="124"/>
      <c r="P227" s="124"/>
      <c r="Q227" s="124"/>
      <c r="R227" s="124"/>
      <c r="S227" s="124"/>
      <c r="T227" s="124"/>
      <c r="U227" s="124"/>
      <c r="V227" s="124"/>
      <c r="W227" s="124"/>
      <c r="X227" s="124"/>
      <c r="Y227" s="124"/>
      <c r="Z227" s="124"/>
      <c r="AA227" s="124"/>
      <c r="AB227" s="118"/>
      <c r="AC227" s="118"/>
    </row>
    <row r="228" spans="1:29" ht="13.2">
      <c r="A228" s="119">
        <f t="shared" si="8"/>
        <v>188</v>
      </c>
      <c r="B228" s="137" t="s">
        <v>370</v>
      </c>
      <c r="C228" s="115" t="s">
        <v>369</v>
      </c>
      <c r="D228" s="118">
        <f>'WP 15'!C59</f>
        <v>0</v>
      </c>
      <c r="E228" s="118"/>
      <c r="F228" s="117"/>
      <c r="G228" s="121"/>
      <c r="H228" s="124"/>
      <c r="I228" s="124"/>
      <c r="J228" s="118"/>
      <c r="K228" s="118"/>
      <c r="L228" s="118"/>
      <c r="M228" s="118"/>
      <c r="N228" s="118"/>
      <c r="O228" s="118"/>
      <c r="P228" s="118"/>
      <c r="Q228" s="118"/>
      <c r="R228" s="118"/>
      <c r="S228" s="118"/>
      <c r="T228" s="118"/>
      <c r="U228" s="118"/>
      <c r="V228" s="118"/>
      <c r="W228" s="118"/>
      <c r="X228" s="118"/>
      <c r="Y228" s="118"/>
      <c r="Z228" s="118"/>
      <c r="AA228" s="118"/>
      <c r="AB228" s="118"/>
      <c r="AC228" s="118"/>
    </row>
    <row r="229" spans="1:29" ht="12.75" customHeight="1">
      <c r="A229" s="119">
        <f>+A228+1</f>
        <v>189</v>
      </c>
      <c r="B229" s="132" t="s">
        <v>366</v>
      </c>
      <c r="C229" s="115" t="s">
        <v>362</v>
      </c>
      <c r="D229" s="124">
        <v>489057</v>
      </c>
      <c r="E229" s="118"/>
      <c r="F229" s="117"/>
      <c r="G229" s="121"/>
      <c r="H229" s="124"/>
      <c r="I229" s="124"/>
      <c r="J229" s="118"/>
      <c r="K229" s="118"/>
      <c r="L229" s="118"/>
      <c r="M229" s="118"/>
      <c r="N229" s="118"/>
      <c r="O229" s="124"/>
      <c r="P229" s="124"/>
      <c r="Q229" s="124"/>
      <c r="R229" s="124"/>
      <c r="S229" s="124"/>
      <c r="T229" s="124"/>
      <c r="U229" s="124"/>
      <c r="V229" s="124"/>
      <c r="W229" s="124"/>
      <c r="X229" s="124"/>
      <c r="Y229" s="124"/>
      <c r="Z229" s="124"/>
      <c r="AA229" s="124"/>
      <c r="AB229" s="118"/>
      <c r="AC229" s="118"/>
    </row>
    <row r="230" spans="1:29" ht="12.75" customHeight="1">
      <c r="A230" s="119">
        <f t="shared" si="8"/>
        <v>190</v>
      </c>
      <c r="B230" s="131" t="s">
        <v>365</v>
      </c>
      <c r="C230" s="126" t="s">
        <v>364</v>
      </c>
      <c r="D230" s="124">
        <v>3345</v>
      </c>
      <c r="E230" s="118"/>
      <c r="F230" s="117"/>
      <c r="G230" s="121"/>
      <c r="H230" s="124"/>
      <c r="I230" s="124"/>
      <c r="J230" s="118"/>
      <c r="K230" s="118"/>
      <c r="L230" s="118"/>
      <c r="M230" s="118"/>
      <c r="N230" s="118"/>
      <c r="O230" s="124"/>
      <c r="P230" s="124"/>
      <c r="Q230" s="124"/>
      <c r="R230" s="124"/>
      <c r="S230" s="124"/>
      <c r="T230" s="124"/>
      <c r="U230" s="124"/>
      <c r="V230" s="124"/>
      <c r="W230" s="124"/>
      <c r="X230" s="124"/>
      <c r="Y230" s="124"/>
      <c r="Z230" s="124"/>
      <c r="AA230" s="124"/>
      <c r="AB230" s="118"/>
      <c r="AC230" s="118"/>
    </row>
    <row r="231" spans="1:29" ht="12.75" customHeight="1">
      <c r="A231" s="119">
        <f t="shared" si="8"/>
        <v>191</v>
      </c>
      <c r="B231" s="132" t="s">
        <v>363</v>
      </c>
      <c r="C231" s="115" t="s">
        <v>362</v>
      </c>
      <c r="D231" s="130">
        <v>144875</v>
      </c>
      <c r="E231" s="118"/>
      <c r="G231" s="125"/>
      <c r="H231" s="124"/>
      <c r="I231" s="124"/>
      <c r="J231" s="118"/>
      <c r="K231" s="118"/>
      <c r="L231" s="118"/>
      <c r="M231" s="118"/>
      <c r="N231" s="118"/>
      <c r="O231" s="124"/>
      <c r="P231" s="118"/>
      <c r="Q231" s="118"/>
      <c r="R231" s="124"/>
      <c r="S231" s="118"/>
      <c r="T231" s="118"/>
      <c r="U231" s="124"/>
      <c r="V231" s="118"/>
      <c r="W231" s="118"/>
      <c r="X231" s="124"/>
      <c r="Y231" s="118"/>
      <c r="Z231" s="118"/>
      <c r="AA231" s="124"/>
      <c r="AB231" s="118"/>
      <c r="AC231" s="118"/>
    </row>
    <row r="232" spans="1:29" ht="12.75" customHeight="1">
      <c r="A232" s="119">
        <f t="shared" si="8"/>
        <v>192</v>
      </c>
      <c r="B232" s="127" t="s">
        <v>361</v>
      </c>
      <c r="C232" s="115" t="str">
        <f>"Sum (L"&amp;A223&amp;" - L"&amp;A231&amp;")"</f>
        <v>Sum (L183 - L191)</v>
      </c>
      <c r="D232" s="124">
        <f>SUM(D223:D231)</f>
        <v>11110285.16</v>
      </c>
      <c r="E232" s="118"/>
      <c r="F232" s="117"/>
      <c r="G232" s="121"/>
      <c r="H232" s="124"/>
      <c r="I232" s="124"/>
      <c r="J232" s="118"/>
      <c r="K232" s="118"/>
      <c r="L232" s="118"/>
      <c r="M232" s="118"/>
      <c r="N232" s="118"/>
      <c r="O232" s="124"/>
      <c r="P232" s="118"/>
      <c r="Q232" s="118"/>
      <c r="R232" s="124"/>
      <c r="S232" s="118"/>
      <c r="T232" s="118"/>
      <c r="U232" s="124"/>
      <c r="V232" s="118"/>
      <c r="W232" s="118"/>
      <c r="X232" s="124"/>
      <c r="Y232" s="118"/>
      <c r="Z232" s="118"/>
      <c r="AA232" s="124"/>
      <c r="AB232" s="118"/>
      <c r="AC232" s="118"/>
    </row>
    <row r="233" spans="1:29" ht="3" customHeight="1">
      <c r="A233" s="119"/>
      <c r="B233" s="127"/>
      <c r="C233" s="126"/>
      <c r="D233" s="124"/>
      <c r="E233" s="118"/>
      <c r="F233" s="117"/>
      <c r="G233" s="121"/>
      <c r="H233" s="124"/>
      <c r="I233" s="124"/>
      <c r="J233" s="118"/>
      <c r="K233" s="118"/>
      <c r="L233" s="118"/>
      <c r="M233" s="118"/>
      <c r="N233" s="118"/>
      <c r="O233" s="124"/>
      <c r="P233" s="118"/>
      <c r="Q233" s="118"/>
      <c r="R233" s="124"/>
      <c r="S233" s="118"/>
      <c r="T233" s="118"/>
      <c r="U233" s="124"/>
      <c r="V233" s="118"/>
      <c r="W233" s="118"/>
      <c r="X233" s="124"/>
      <c r="Y233" s="118"/>
      <c r="Z233" s="118"/>
      <c r="AA233" s="124"/>
      <c r="AB233" s="118"/>
      <c r="AC233" s="118"/>
    </row>
    <row r="234" spans="1:29" ht="12.75" customHeight="1">
      <c r="A234" s="119">
        <f>A232+1</f>
        <v>193</v>
      </c>
      <c r="B234" s="131" t="s">
        <v>45</v>
      </c>
      <c r="C234" s="115" t="str">
        <f>"Ln"&amp;A210&amp;"+Ln"&amp;A216&amp;"+Ln"&amp;A221&amp;"+Ln"&amp;A232</f>
        <v>Ln173+Ln178+Ln182+Ln192</v>
      </c>
      <c r="D234" s="118">
        <f>D210+D216+D221+D232</f>
        <v>51938928.099999994</v>
      </c>
      <c r="E234" s="118"/>
      <c r="F234" s="117"/>
      <c r="G234" s="121"/>
      <c r="H234" s="124"/>
      <c r="I234" s="124"/>
      <c r="J234" s="118"/>
      <c r="K234" s="118"/>
      <c r="L234" s="118"/>
      <c r="M234" s="118"/>
      <c r="N234" s="118"/>
      <c r="O234" s="118"/>
      <c r="P234" s="118"/>
      <c r="Q234" s="118"/>
      <c r="R234" s="118"/>
      <c r="S234" s="118"/>
      <c r="T234" s="118"/>
      <c r="U234" s="118"/>
      <c r="V234" s="118"/>
      <c r="W234" s="118"/>
      <c r="X234" s="118"/>
      <c r="Y234" s="118"/>
      <c r="Z234" s="118"/>
      <c r="AA234" s="118"/>
      <c r="AB234" s="118"/>
      <c r="AC234" s="118"/>
    </row>
    <row r="235" spans="1:29" ht="12.75" customHeight="1">
      <c r="A235" s="119"/>
      <c r="D235" s="118"/>
      <c r="E235" s="118"/>
      <c r="F235" s="117"/>
      <c r="G235" s="121"/>
      <c r="H235" s="120"/>
      <c r="I235" s="124"/>
      <c r="J235" s="118"/>
      <c r="K235" s="118"/>
      <c r="L235" s="118"/>
      <c r="M235" s="118"/>
      <c r="N235" s="118"/>
      <c r="O235" s="118"/>
      <c r="P235" s="118"/>
      <c r="Q235" s="118"/>
      <c r="R235" s="118"/>
      <c r="S235" s="118"/>
      <c r="T235" s="118"/>
      <c r="U235" s="118"/>
      <c r="V235" s="118"/>
      <c r="W235" s="118"/>
      <c r="X235" s="118"/>
      <c r="Y235" s="118"/>
      <c r="Z235" s="118"/>
      <c r="AA235" s="118"/>
      <c r="AB235" s="118"/>
      <c r="AC235" s="118"/>
    </row>
    <row r="236" spans="1:29" ht="12.75" customHeight="1">
      <c r="A236" s="119">
        <f>A234+1</f>
        <v>194</v>
      </c>
      <c r="B236" s="126" t="s">
        <v>360</v>
      </c>
      <c r="D236" s="118"/>
      <c r="E236" s="118"/>
      <c r="F236" s="117"/>
      <c r="G236" s="121"/>
      <c r="H236" s="124"/>
      <c r="I236" s="120"/>
      <c r="J236" s="118"/>
      <c r="K236" s="118"/>
      <c r="L236" s="118"/>
      <c r="M236" s="118"/>
      <c r="N236" s="118"/>
      <c r="O236" s="118"/>
      <c r="P236" s="118"/>
      <c r="Q236" s="118"/>
      <c r="R236" s="118"/>
      <c r="S236" s="118"/>
      <c r="T236" s="118"/>
      <c r="U236" s="118"/>
      <c r="V236" s="118"/>
      <c r="W236" s="118"/>
      <c r="X236" s="118"/>
      <c r="Y236" s="118"/>
      <c r="Z236" s="118"/>
      <c r="AA236" s="118"/>
      <c r="AB236" s="118"/>
      <c r="AC236" s="118"/>
    </row>
    <row r="237" spans="1:29" ht="12.75" customHeight="1">
      <c r="A237" s="119">
        <f>A236+1</f>
        <v>195</v>
      </c>
      <c r="B237" s="129" t="s">
        <v>359</v>
      </c>
      <c r="C237" s="115" t="s">
        <v>358</v>
      </c>
      <c r="D237" s="118">
        <v>3563955116</v>
      </c>
      <c r="E237" s="118"/>
      <c r="F237" s="117"/>
      <c r="G237" s="121"/>
      <c r="H237" s="124"/>
      <c r="I237" s="120"/>
      <c r="J237" s="118"/>
      <c r="K237" s="118"/>
      <c r="L237" s="118"/>
      <c r="M237" s="118"/>
      <c r="N237" s="118"/>
      <c r="O237" s="118"/>
      <c r="P237" s="118"/>
      <c r="Q237" s="118"/>
      <c r="R237" s="118"/>
      <c r="S237" s="118"/>
      <c r="T237" s="118"/>
      <c r="U237" s="118"/>
      <c r="V237" s="118"/>
      <c r="W237" s="118"/>
      <c r="X237" s="118"/>
      <c r="Y237" s="118"/>
      <c r="Z237" s="118"/>
      <c r="AA237" s="118"/>
      <c r="AB237" s="118"/>
      <c r="AC237" s="118"/>
    </row>
    <row r="238" spans="1:29" ht="12.75" customHeight="1">
      <c r="A238" s="119">
        <f>A237+1</f>
        <v>196</v>
      </c>
      <c r="B238" s="129" t="s">
        <v>357</v>
      </c>
      <c r="C238" s="115" t="s">
        <v>356</v>
      </c>
      <c r="D238" s="118">
        <v>0</v>
      </c>
      <c r="E238" s="118"/>
      <c r="F238" s="117"/>
      <c r="G238" s="121"/>
      <c r="H238" s="124"/>
      <c r="I238" s="120"/>
      <c r="J238" s="118"/>
      <c r="K238" s="118"/>
      <c r="L238" s="118"/>
      <c r="M238" s="118"/>
      <c r="N238" s="118"/>
      <c r="O238" s="118"/>
      <c r="P238" s="118"/>
      <c r="Q238" s="118"/>
      <c r="R238" s="118"/>
      <c r="S238" s="118"/>
      <c r="T238" s="118"/>
      <c r="U238" s="118"/>
      <c r="V238" s="118"/>
      <c r="W238" s="118"/>
      <c r="X238" s="118"/>
      <c r="Y238" s="118"/>
      <c r="Z238" s="118"/>
      <c r="AA238" s="118"/>
      <c r="AB238" s="118"/>
      <c r="AC238" s="118"/>
    </row>
    <row r="239" spans="1:29" ht="12.75" customHeight="1">
      <c r="A239" s="119">
        <f>A238+1</f>
        <v>197</v>
      </c>
      <c r="B239" s="129" t="s">
        <v>355</v>
      </c>
      <c r="C239" s="115" t="s">
        <v>354</v>
      </c>
      <c r="D239" s="118">
        <v>0</v>
      </c>
      <c r="E239" s="118"/>
      <c r="F239" s="117"/>
      <c r="G239" s="121"/>
      <c r="H239" s="124"/>
      <c r="I239" s="120"/>
      <c r="J239" s="118"/>
      <c r="K239" s="118"/>
      <c r="L239" s="118"/>
      <c r="M239" s="118"/>
      <c r="N239" s="118"/>
      <c r="O239" s="118"/>
      <c r="P239" s="118"/>
      <c r="Q239" s="118"/>
      <c r="R239" s="118"/>
    </row>
    <row r="240" spans="1:29" ht="12.75" customHeight="1">
      <c r="A240" s="119"/>
      <c r="D240" s="118"/>
      <c r="E240" s="118"/>
      <c r="F240" s="117"/>
      <c r="G240" s="121"/>
      <c r="H240" s="124"/>
      <c r="I240" s="120"/>
      <c r="J240" s="118"/>
      <c r="K240" s="118"/>
      <c r="L240" s="118"/>
      <c r="M240" s="118"/>
      <c r="N240" s="118"/>
      <c r="O240" s="118"/>
      <c r="P240" s="118"/>
      <c r="Q240" s="118"/>
      <c r="R240" s="118"/>
      <c r="S240" s="118"/>
      <c r="T240" s="118"/>
      <c r="U240" s="118"/>
      <c r="V240" s="118"/>
      <c r="W240" s="118"/>
      <c r="X240" s="118"/>
      <c r="Y240" s="118"/>
      <c r="Z240" s="118"/>
      <c r="AA240" s="118"/>
      <c r="AB240" s="118"/>
      <c r="AC240" s="118"/>
    </row>
    <row r="241" spans="1:29" ht="12.75" customHeight="1">
      <c r="A241" s="119">
        <f>A239+1</f>
        <v>198</v>
      </c>
      <c r="B241" s="115" t="s">
        <v>353</v>
      </c>
      <c r="D241" s="118"/>
      <c r="E241" s="118"/>
      <c r="F241" s="117"/>
      <c r="G241" s="125"/>
      <c r="H241" s="124"/>
      <c r="I241" s="120"/>
      <c r="J241" s="118"/>
      <c r="K241" s="118"/>
      <c r="L241" s="118"/>
      <c r="M241" s="118"/>
      <c r="N241" s="118"/>
      <c r="O241" s="118"/>
      <c r="P241" s="118"/>
      <c r="Q241" s="118"/>
      <c r="R241" s="118"/>
      <c r="S241" s="118"/>
      <c r="T241" s="118"/>
      <c r="U241" s="118"/>
      <c r="V241" s="118"/>
      <c r="W241" s="118"/>
      <c r="X241" s="118"/>
      <c r="Y241" s="118"/>
      <c r="Z241" s="118"/>
      <c r="AA241" s="118"/>
      <c r="AB241" s="118"/>
      <c r="AC241" s="118"/>
    </row>
    <row r="242" spans="1:29" ht="12.75" customHeight="1">
      <c r="A242" s="119">
        <f t="shared" ref="A242:A250" si="9">A241+1</f>
        <v>199</v>
      </c>
      <c r="B242" s="115" t="s">
        <v>352</v>
      </c>
      <c r="D242" s="118"/>
      <c r="E242" s="118"/>
      <c r="F242" s="117"/>
      <c r="G242" s="121"/>
      <c r="H242" s="124"/>
      <c r="I242" s="120"/>
      <c r="J242" s="124"/>
      <c r="K242" s="124"/>
      <c r="L242" s="124"/>
      <c r="M242" s="118"/>
      <c r="N242" s="118"/>
      <c r="O242" s="118"/>
      <c r="P242" s="118"/>
      <c r="Q242" s="118"/>
      <c r="R242" s="118"/>
      <c r="S242" s="118"/>
      <c r="T242" s="118"/>
      <c r="U242" s="118"/>
      <c r="V242" s="118"/>
      <c r="W242" s="118"/>
      <c r="X242" s="118"/>
      <c r="Y242" s="118"/>
      <c r="Z242" s="118"/>
      <c r="AA242" s="118"/>
      <c r="AB242" s="118"/>
      <c r="AC242" s="118"/>
    </row>
    <row r="243" spans="1:29" ht="12.75" customHeight="1">
      <c r="A243" s="119">
        <f t="shared" si="9"/>
        <v>200</v>
      </c>
      <c r="B243" s="131" t="s">
        <v>351</v>
      </c>
      <c r="C243" s="115" t="s">
        <v>350</v>
      </c>
      <c r="D243" s="118">
        <v>53667518</v>
      </c>
      <c r="E243" s="118"/>
      <c r="F243" s="117"/>
      <c r="G243" s="121"/>
      <c r="H243" s="124"/>
      <c r="I243" s="120"/>
      <c r="J243" s="124"/>
      <c r="K243" s="124"/>
      <c r="L243" s="124"/>
      <c r="M243" s="118"/>
      <c r="N243" s="118"/>
      <c r="O243" s="118"/>
      <c r="P243" s="118"/>
      <c r="Q243" s="118"/>
      <c r="R243" s="118"/>
      <c r="S243" s="118"/>
      <c r="T243" s="118"/>
      <c r="U243" s="118"/>
      <c r="V243" s="118"/>
      <c r="W243" s="118"/>
      <c r="X243" s="118"/>
      <c r="Y243" s="118"/>
      <c r="Z243" s="118"/>
      <c r="AA243" s="118"/>
      <c r="AB243" s="118"/>
      <c r="AC243" s="118"/>
    </row>
    <row r="244" spans="1:29" ht="12.75" customHeight="1">
      <c r="A244" s="119">
        <f t="shared" si="9"/>
        <v>201</v>
      </c>
      <c r="B244" s="131" t="s">
        <v>349</v>
      </c>
      <c r="C244" s="115" t="s">
        <v>348</v>
      </c>
      <c r="D244" s="118">
        <v>1712646</v>
      </c>
      <c r="E244" s="118"/>
      <c r="F244" s="117"/>
      <c r="G244" s="121"/>
      <c r="H244" s="124"/>
      <c r="I244" s="120"/>
      <c r="J244" s="124"/>
      <c r="K244" s="124"/>
      <c r="L244" s="124"/>
      <c r="M244" s="118"/>
      <c r="N244" s="118"/>
      <c r="O244" s="118"/>
      <c r="P244" s="118"/>
      <c r="Q244" s="118"/>
      <c r="R244" s="118"/>
      <c r="S244" s="118"/>
      <c r="T244" s="118"/>
      <c r="U244" s="118"/>
      <c r="V244" s="118"/>
      <c r="W244" s="118"/>
      <c r="X244" s="118"/>
      <c r="Y244" s="118"/>
      <c r="Z244" s="118"/>
      <c r="AA244" s="118"/>
      <c r="AB244" s="118"/>
      <c r="AC244" s="118"/>
    </row>
    <row r="245" spans="1:29" ht="12.75" customHeight="1">
      <c r="A245" s="119">
        <f t="shared" si="9"/>
        <v>202</v>
      </c>
      <c r="B245" s="131" t="s">
        <v>347</v>
      </c>
      <c r="C245" s="115" t="s">
        <v>346</v>
      </c>
      <c r="D245" s="118">
        <v>1040834</v>
      </c>
      <c r="E245" s="118"/>
      <c r="F245" s="117"/>
      <c r="G245" s="121"/>
      <c r="H245" s="120"/>
      <c r="I245" s="120"/>
      <c r="J245" s="124"/>
      <c r="K245" s="124"/>
      <c r="L245" s="124"/>
      <c r="M245" s="118"/>
      <c r="N245" s="118"/>
      <c r="O245" s="118"/>
      <c r="P245" s="118"/>
      <c r="Q245" s="118"/>
      <c r="R245" s="118"/>
      <c r="S245" s="118"/>
      <c r="T245" s="118"/>
      <c r="U245" s="118"/>
      <c r="V245" s="118"/>
      <c r="W245" s="118"/>
      <c r="X245" s="118"/>
      <c r="Y245" s="118"/>
      <c r="Z245" s="118"/>
      <c r="AA245" s="118"/>
      <c r="AB245" s="118"/>
      <c r="AC245" s="118"/>
    </row>
    <row r="246" spans="1:29" ht="12.75" customHeight="1">
      <c r="A246" s="119">
        <f t="shared" si="9"/>
        <v>203</v>
      </c>
      <c r="B246" s="132" t="s">
        <v>345</v>
      </c>
      <c r="C246" s="115" t="s">
        <v>344</v>
      </c>
      <c r="D246" s="118">
        <v>0</v>
      </c>
      <c r="E246" s="118"/>
      <c r="F246" s="117"/>
      <c r="G246" s="121"/>
      <c r="H246" s="120"/>
      <c r="I246" s="120"/>
      <c r="J246" s="124"/>
      <c r="K246" s="124"/>
      <c r="L246" s="124"/>
      <c r="M246" s="118"/>
      <c r="N246" s="118"/>
      <c r="O246" s="118"/>
      <c r="P246" s="118"/>
      <c r="Q246" s="118"/>
      <c r="R246" s="118"/>
      <c r="S246" s="118"/>
      <c r="T246" s="118"/>
      <c r="U246" s="118"/>
      <c r="V246" s="118"/>
      <c r="W246" s="118"/>
      <c r="X246" s="118"/>
      <c r="Y246" s="118"/>
      <c r="Z246" s="118"/>
      <c r="AA246" s="118"/>
      <c r="AB246" s="118"/>
      <c r="AC246" s="118"/>
    </row>
    <row r="247" spans="1:29" ht="12.75" customHeight="1">
      <c r="A247" s="119">
        <f t="shared" si="9"/>
        <v>204</v>
      </c>
      <c r="B247" s="132" t="s">
        <v>343</v>
      </c>
      <c r="C247" s="115" t="s">
        <v>342</v>
      </c>
      <c r="D247" s="118">
        <v>0</v>
      </c>
      <c r="E247" s="118"/>
      <c r="F247" s="117"/>
      <c r="G247" s="121"/>
      <c r="H247" s="124"/>
      <c r="I247" s="120"/>
      <c r="J247" s="124"/>
      <c r="K247" s="124"/>
      <c r="L247" s="124"/>
      <c r="M247" s="118"/>
      <c r="N247" s="118"/>
      <c r="O247" s="118"/>
      <c r="P247" s="118"/>
      <c r="Q247" s="118"/>
      <c r="R247" s="118"/>
      <c r="S247" s="118"/>
      <c r="T247" s="118"/>
      <c r="U247" s="118"/>
      <c r="V247" s="118"/>
      <c r="W247" s="118"/>
      <c r="X247" s="118"/>
      <c r="Y247" s="118"/>
      <c r="Z247" s="118"/>
      <c r="AA247" s="118"/>
      <c r="AB247" s="118"/>
      <c r="AC247" s="118"/>
    </row>
    <row r="248" spans="1:29" ht="12.75" customHeight="1">
      <c r="A248" s="119">
        <f t="shared" si="9"/>
        <v>205</v>
      </c>
      <c r="B248" s="131" t="s">
        <v>341</v>
      </c>
      <c r="C248" s="115" t="s">
        <v>340</v>
      </c>
      <c r="D248" s="130">
        <v>53903</v>
      </c>
      <c r="E248" s="118"/>
      <c r="F248" s="117"/>
      <c r="G248" s="121"/>
      <c r="H248" s="124"/>
      <c r="I248" s="120"/>
      <c r="J248" s="124"/>
      <c r="K248" s="124"/>
      <c r="L248" s="124"/>
      <c r="M248" s="118"/>
      <c r="N248" s="118"/>
      <c r="O248" s="118"/>
      <c r="P248" s="118"/>
      <c r="Q248" s="118"/>
      <c r="R248" s="118"/>
      <c r="S248" s="118"/>
      <c r="T248" s="118"/>
      <c r="U248" s="118"/>
      <c r="V248" s="118"/>
      <c r="W248" s="118"/>
      <c r="X248" s="118"/>
      <c r="Y248" s="118"/>
      <c r="Z248" s="118"/>
      <c r="AA248" s="118"/>
      <c r="AB248" s="118"/>
      <c r="AC248" s="118"/>
    </row>
    <row r="249" spans="1:29" ht="27.75" customHeight="1">
      <c r="A249" s="119">
        <f t="shared" si="9"/>
        <v>206</v>
      </c>
      <c r="B249" s="127" t="s">
        <v>339</v>
      </c>
      <c r="C249" s="135" t="str">
        <f>"Ln"&amp;A243&amp;" + "&amp;"Ln"&amp;A244&amp;" + "&amp;"Ln"&amp;A245&amp;" - "&amp;"Ln"&amp;A246&amp;" - "&amp;"Ln"&amp;A247&amp;" + "&amp;"Ln"&amp;A248</f>
        <v>Ln200 + Ln201 + Ln202 - Ln203 - Ln204 + Ln205</v>
      </c>
      <c r="D249" s="118">
        <f>D243+D244+D245-D246-D247+D248</f>
        <v>56474901</v>
      </c>
      <c r="E249" s="118"/>
      <c r="F249" s="117"/>
      <c r="G249" s="121"/>
      <c r="H249" s="124"/>
      <c r="I249" s="120"/>
      <c r="J249" s="124"/>
      <c r="K249" s="124"/>
      <c r="L249" s="124"/>
      <c r="M249" s="118"/>
      <c r="N249" s="118"/>
      <c r="O249" s="118"/>
      <c r="P249" s="118"/>
      <c r="Q249" s="118"/>
      <c r="R249" s="118"/>
      <c r="S249" s="118"/>
      <c r="T249" s="118"/>
      <c r="U249" s="118"/>
      <c r="V249" s="118"/>
      <c r="W249" s="118"/>
      <c r="X249" s="118"/>
      <c r="Y249" s="118"/>
      <c r="Z249" s="118"/>
      <c r="AA249" s="118"/>
      <c r="AB249" s="118"/>
      <c r="AC249" s="118"/>
    </row>
    <row r="250" spans="1:29" ht="12.75" customHeight="1">
      <c r="A250" s="119">
        <f t="shared" si="9"/>
        <v>207</v>
      </c>
      <c r="B250" s="129" t="s">
        <v>338</v>
      </c>
      <c r="C250" s="115" t="s">
        <v>337</v>
      </c>
      <c r="D250" s="118">
        <v>2828376</v>
      </c>
      <c r="E250" s="118"/>
      <c r="F250" s="117"/>
      <c r="G250" s="121"/>
      <c r="H250" s="120"/>
      <c r="I250" s="120"/>
      <c r="J250" s="124"/>
      <c r="K250" s="124"/>
      <c r="L250" s="124"/>
      <c r="M250" s="118"/>
      <c r="N250" s="118"/>
      <c r="O250" s="118"/>
      <c r="P250" s="118"/>
      <c r="Q250" s="118"/>
      <c r="R250" s="118"/>
      <c r="S250" s="118"/>
      <c r="T250" s="118"/>
      <c r="U250" s="118"/>
      <c r="V250" s="118"/>
      <c r="W250" s="118"/>
      <c r="X250" s="118"/>
      <c r="Y250" s="118"/>
      <c r="Z250" s="118"/>
      <c r="AA250" s="118"/>
      <c r="AB250" s="118"/>
      <c r="AC250" s="118"/>
    </row>
    <row r="251" spans="1:29" ht="3" customHeight="1">
      <c r="A251" s="119"/>
      <c r="D251" s="118"/>
      <c r="E251" s="118"/>
      <c r="F251" s="117"/>
      <c r="G251" s="121"/>
      <c r="H251" s="124"/>
      <c r="I251" s="120"/>
      <c r="J251" s="124"/>
      <c r="K251" s="124"/>
      <c r="L251" s="124"/>
      <c r="M251" s="118"/>
      <c r="N251" s="118"/>
      <c r="O251" s="118"/>
      <c r="P251" s="118"/>
      <c r="Q251" s="118"/>
      <c r="R251" s="118"/>
      <c r="S251" s="118"/>
      <c r="T251" s="118"/>
      <c r="U251" s="118"/>
      <c r="V251" s="118"/>
      <c r="W251" s="118"/>
      <c r="X251" s="118"/>
      <c r="Y251" s="118"/>
      <c r="Z251" s="118"/>
      <c r="AA251" s="118"/>
      <c r="AB251" s="118"/>
      <c r="AC251" s="118"/>
    </row>
    <row r="252" spans="1:29" ht="12.75" customHeight="1">
      <c r="A252" s="119">
        <f>A250+1</f>
        <v>208</v>
      </c>
      <c r="B252" s="114" t="s">
        <v>336</v>
      </c>
      <c r="C252" s="115" t="s">
        <v>335</v>
      </c>
      <c r="D252" s="118">
        <v>1001957850</v>
      </c>
      <c r="E252" s="118"/>
      <c r="F252" s="117"/>
      <c r="G252" s="121"/>
      <c r="H252" s="124"/>
      <c r="I252" s="120"/>
      <c r="J252" s="124"/>
      <c r="K252" s="124"/>
      <c r="L252" s="124"/>
      <c r="M252" s="118"/>
      <c r="N252" s="118"/>
      <c r="O252" s="118"/>
      <c r="P252" s="118"/>
      <c r="Q252" s="118"/>
      <c r="R252" s="118"/>
      <c r="S252" s="118"/>
      <c r="T252" s="118"/>
      <c r="U252" s="118"/>
      <c r="V252" s="118"/>
      <c r="W252" s="118"/>
      <c r="X252" s="118"/>
      <c r="Y252" s="118"/>
      <c r="Z252" s="118"/>
      <c r="AA252" s="118"/>
      <c r="AB252" s="118"/>
      <c r="AC252" s="118"/>
    </row>
    <row r="253" spans="1:29" ht="12.75" customHeight="1">
      <c r="A253" s="119">
        <f>A252+1</f>
        <v>209</v>
      </c>
      <c r="B253" s="129" t="s">
        <v>334</v>
      </c>
      <c r="C253" s="115" t="s">
        <v>333</v>
      </c>
      <c r="D253" s="118">
        <v>50380700</v>
      </c>
      <c r="E253" s="118"/>
      <c r="F253" s="117"/>
      <c r="G253" s="121"/>
      <c r="H253" s="124"/>
      <c r="I253" s="120"/>
      <c r="J253" s="124"/>
      <c r="K253" s="124"/>
      <c r="L253" s="124"/>
      <c r="M253" s="118"/>
      <c r="N253" s="118"/>
      <c r="O253" s="118"/>
      <c r="P253" s="118"/>
      <c r="Q253" s="118"/>
      <c r="R253" s="118"/>
      <c r="S253" s="118"/>
      <c r="T253" s="118"/>
      <c r="U253" s="118"/>
      <c r="V253" s="118"/>
      <c r="W253" s="118"/>
      <c r="X253" s="118"/>
      <c r="Y253" s="118"/>
      <c r="Z253" s="118"/>
      <c r="AA253" s="118"/>
      <c r="AB253" s="118"/>
      <c r="AC253" s="118"/>
    </row>
    <row r="254" spans="1:29" ht="12.75" customHeight="1">
      <c r="A254" s="119">
        <f>A253+1</f>
        <v>210</v>
      </c>
      <c r="B254" s="129" t="s">
        <v>332</v>
      </c>
      <c r="C254" s="115" t="s">
        <v>331</v>
      </c>
      <c r="D254" s="118">
        <v>1749</v>
      </c>
      <c r="E254" s="118"/>
      <c r="F254" s="117"/>
      <c r="G254" s="121"/>
      <c r="H254" s="124"/>
      <c r="I254" s="120"/>
      <c r="J254" s="124"/>
      <c r="K254" s="124"/>
      <c r="L254" s="124"/>
      <c r="M254" s="118"/>
      <c r="N254" s="118"/>
      <c r="O254" s="118"/>
      <c r="P254" s="118"/>
      <c r="Q254" s="118"/>
      <c r="R254" s="118"/>
      <c r="S254" s="118"/>
      <c r="T254" s="118"/>
      <c r="U254" s="118"/>
      <c r="V254" s="118"/>
      <c r="W254" s="118"/>
      <c r="X254" s="118"/>
      <c r="Y254" s="118"/>
      <c r="Z254" s="118"/>
      <c r="AA254" s="118"/>
      <c r="AB254" s="118"/>
      <c r="AC254" s="118"/>
    </row>
    <row r="255" spans="1:29" ht="3" customHeight="1">
      <c r="A255" s="119"/>
      <c r="B255" s="129"/>
      <c r="D255" s="118"/>
      <c r="E255" s="118"/>
      <c r="F255" s="117"/>
      <c r="G255" s="121"/>
      <c r="H255" s="124"/>
      <c r="I255" s="120"/>
      <c r="J255" s="124"/>
      <c r="K255" s="124"/>
      <c r="L255" s="124"/>
      <c r="M255" s="118"/>
      <c r="N255" s="118"/>
      <c r="O255" s="118"/>
      <c r="P255" s="118"/>
      <c r="Q255" s="118"/>
      <c r="R255" s="118"/>
      <c r="S255" s="118"/>
      <c r="T255" s="118"/>
      <c r="U255" s="118"/>
      <c r="V255" s="118"/>
      <c r="W255" s="118"/>
      <c r="X255" s="118"/>
      <c r="Y255" s="118"/>
      <c r="Z255" s="118"/>
      <c r="AA255" s="118"/>
      <c r="AB255" s="118"/>
      <c r="AC255" s="118"/>
    </row>
    <row r="256" spans="1:29" ht="12.75" customHeight="1">
      <c r="A256" s="119">
        <f>A254+1</f>
        <v>211</v>
      </c>
      <c r="B256" s="131" t="s">
        <v>330</v>
      </c>
      <c r="C256" s="115" t="s">
        <v>329</v>
      </c>
      <c r="D256" s="118">
        <v>1025000000</v>
      </c>
      <c r="E256" s="118"/>
      <c r="F256" s="117"/>
      <c r="G256" s="121"/>
      <c r="H256" s="124"/>
      <c r="I256" s="120"/>
      <c r="J256" s="124"/>
      <c r="K256" s="124"/>
      <c r="L256" s="124"/>
      <c r="M256" s="118"/>
      <c r="N256" s="118"/>
      <c r="O256" s="118"/>
      <c r="P256" s="118"/>
      <c r="Q256" s="118"/>
      <c r="R256" s="118"/>
      <c r="S256" s="118"/>
      <c r="T256" s="118"/>
      <c r="U256" s="118"/>
      <c r="V256" s="118"/>
      <c r="W256" s="118"/>
      <c r="X256" s="118"/>
      <c r="Y256" s="118"/>
      <c r="Z256" s="118"/>
      <c r="AA256" s="118"/>
      <c r="AB256" s="118"/>
      <c r="AC256" s="118"/>
    </row>
    <row r="257" spans="1:29" ht="12.75" customHeight="1">
      <c r="A257" s="119">
        <f>A256+1</f>
        <v>212</v>
      </c>
      <c r="B257" s="131" t="s">
        <v>328</v>
      </c>
      <c r="C257" s="115" t="s">
        <v>327</v>
      </c>
      <c r="D257" s="118">
        <v>0</v>
      </c>
      <c r="E257" s="118"/>
      <c r="F257" s="117"/>
      <c r="G257" s="121"/>
      <c r="H257" s="124"/>
      <c r="I257" s="120"/>
      <c r="J257" s="124"/>
      <c r="K257" s="124"/>
      <c r="L257" s="124"/>
      <c r="M257" s="118"/>
      <c r="N257" s="118"/>
      <c r="O257" s="118"/>
      <c r="P257" s="118"/>
      <c r="Q257" s="118"/>
      <c r="R257" s="118"/>
      <c r="S257" s="118"/>
      <c r="T257" s="118"/>
      <c r="U257" s="118"/>
      <c r="V257" s="118"/>
      <c r="W257" s="118"/>
      <c r="X257" s="118"/>
      <c r="Y257" s="118"/>
      <c r="Z257" s="118"/>
      <c r="AA257" s="118"/>
      <c r="AB257" s="118"/>
      <c r="AC257" s="118"/>
    </row>
    <row r="258" spans="1:29" ht="12.75" customHeight="1">
      <c r="A258" s="119">
        <f>A257+1</f>
        <v>213</v>
      </c>
      <c r="B258" s="131" t="s">
        <v>326</v>
      </c>
      <c r="C258" s="126" t="s">
        <v>325</v>
      </c>
      <c r="D258" s="118">
        <v>4631807</v>
      </c>
      <c r="E258" s="118"/>
      <c r="F258" s="117"/>
      <c r="G258" s="121"/>
      <c r="H258" s="124"/>
      <c r="I258" s="120"/>
      <c r="J258" s="124"/>
      <c r="K258" s="124"/>
      <c r="L258" s="124"/>
      <c r="M258" s="118"/>
      <c r="N258" s="118"/>
      <c r="O258" s="118"/>
      <c r="P258" s="118"/>
      <c r="Q258" s="118"/>
      <c r="R258" s="118"/>
      <c r="S258" s="118"/>
      <c r="T258" s="118"/>
      <c r="U258" s="118"/>
      <c r="V258" s="118"/>
      <c r="W258" s="118"/>
      <c r="X258" s="118"/>
      <c r="Y258" s="118"/>
      <c r="Z258" s="118"/>
      <c r="AA258" s="118"/>
      <c r="AB258" s="118"/>
      <c r="AC258" s="118"/>
    </row>
    <row r="259" spans="1:29" ht="12.75" customHeight="1">
      <c r="A259" s="119">
        <f>A258+1</f>
        <v>214</v>
      </c>
      <c r="B259" s="131" t="s">
        <v>324</v>
      </c>
      <c r="C259" s="115" t="s">
        <v>323</v>
      </c>
      <c r="D259" s="130">
        <v>30000000</v>
      </c>
      <c r="E259" s="118"/>
      <c r="F259" s="117"/>
      <c r="G259" s="121"/>
      <c r="H259" s="124"/>
      <c r="I259" s="120"/>
      <c r="J259" s="124"/>
      <c r="K259" s="124"/>
      <c r="L259" s="124"/>
      <c r="M259" s="118"/>
      <c r="N259" s="118"/>
      <c r="O259" s="118"/>
      <c r="P259" s="118"/>
      <c r="Q259" s="118"/>
      <c r="R259" s="118"/>
      <c r="S259" s="118"/>
      <c r="T259" s="118"/>
      <c r="U259" s="118"/>
      <c r="V259" s="118"/>
      <c r="W259" s="118"/>
      <c r="X259" s="118"/>
      <c r="Y259" s="118"/>
      <c r="Z259" s="118"/>
      <c r="AA259" s="118"/>
      <c r="AB259" s="118"/>
      <c r="AC259" s="118"/>
    </row>
    <row r="260" spans="1:29" ht="24" customHeight="1">
      <c r="A260" s="119">
        <f>A259+1</f>
        <v>215</v>
      </c>
      <c r="B260" s="114" t="s">
        <v>322</v>
      </c>
      <c r="C260" s="134" t="str">
        <f>"Ln"&amp;A256&amp;" - "&amp;"Ln"&amp;A257&amp;" + "&amp;"Ln"&amp;A258&amp;" + "&amp;"Ln"&amp;A259</f>
        <v>Ln211 - Ln212 + Ln213 + Ln214</v>
      </c>
      <c r="D260" s="118">
        <f>D256-D257+D258+D259</f>
        <v>1059631807</v>
      </c>
      <c r="E260" s="118"/>
      <c r="F260" s="117"/>
      <c r="G260" s="121"/>
      <c r="H260" s="124"/>
      <c r="I260" s="120"/>
      <c r="J260" s="124"/>
      <c r="K260" s="124"/>
      <c r="L260" s="124"/>
      <c r="M260" s="118"/>
      <c r="N260" s="118"/>
      <c r="O260" s="118"/>
      <c r="P260" s="118"/>
      <c r="Q260" s="118"/>
      <c r="R260" s="118"/>
      <c r="S260" s="118"/>
      <c r="T260" s="118"/>
      <c r="U260" s="118"/>
      <c r="V260" s="118"/>
      <c r="W260" s="118"/>
      <c r="X260" s="118"/>
      <c r="Y260" s="118"/>
      <c r="Z260" s="118"/>
      <c r="AA260" s="118"/>
      <c r="AB260" s="118"/>
      <c r="AC260" s="118"/>
    </row>
    <row r="261" spans="1:29" ht="3" customHeight="1">
      <c r="A261" s="119"/>
      <c r="F261" s="117"/>
      <c r="G261" s="121"/>
      <c r="H261" s="124"/>
      <c r="I261" s="120"/>
      <c r="J261" s="120"/>
      <c r="K261" s="120"/>
      <c r="L261" s="120"/>
    </row>
    <row r="262" spans="1:29" ht="12.75" customHeight="1">
      <c r="A262" s="119">
        <f>A260+1</f>
        <v>216</v>
      </c>
      <c r="B262" s="128" t="s">
        <v>321</v>
      </c>
      <c r="D262" s="118"/>
      <c r="E262" s="118"/>
      <c r="F262" s="117"/>
      <c r="G262" s="121"/>
      <c r="H262" s="124"/>
      <c r="I262" s="120"/>
      <c r="J262" s="124"/>
      <c r="K262" s="124"/>
      <c r="L262" s="124"/>
      <c r="M262" s="118"/>
      <c r="N262" s="118"/>
      <c r="O262" s="118"/>
      <c r="P262" s="118"/>
      <c r="Q262" s="118"/>
      <c r="R262" s="118"/>
      <c r="S262" s="118"/>
      <c r="T262" s="118"/>
      <c r="U262" s="118"/>
      <c r="V262" s="118"/>
      <c r="W262" s="118"/>
      <c r="X262" s="118"/>
      <c r="Y262" s="118"/>
      <c r="Z262" s="118"/>
      <c r="AA262" s="118"/>
      <c r="AB262" s="118"/>
      <c r="AC262" s="118"/>
    </row>
    <row r="263" spans="1:29" ht="12.75" customHeight="1">
      <c r="A263" s="119">
        <f>A262+1</f>
        <v>217</v>
      </c>
      <c r="B263" s="114" t="s">
        <v>320</v>
      </c>
      <c r="D263" s="118">
        <v>0</v>
      </c>
      <c r="E263" s="118"/>
      <c r="F263" s="117"/>
      <c r="G263" s="125"/>
      <c r="H263" s="124"/>
      <c r="I263" s="120"/>
      <c r="J263" s="124"/>
      <c r="K263" s="124"/>
      <c r="L263" s="124"/>
      <c r="M263" s="118"/>
      <c r="N263" s="118"/>
      <c r="O263" s="118"/>
      <c r="P263" s="118"/>
      <c r="Q263" s="118"/>
      <c r="R263" s="118"/>
      <c r="S263" s="118"/>
      <c r="T263" s="118"/>
      <c r="U263" s="118"/>
      <c r="V263" s="118"/>
      <c r="W263" s="118"/>
      <c r="X263" s="118"/>
      <c r="Y263" s="118"/>
      <c r="Z263" s="118"/>
      <c r="AA263" s="118"/>
      <c r="AB263" s="118"/>
      <c r="AC263" s="118"/>
    </row>
    <row r="264" spans="1:29" ht="12.75" customHeight="1">
      <c r="A264" s="119">
        <f>A263+1</f>
        <v>218</v>
      </c>
      <c r="B264" s="114" t="s">
        <v>319</v>
      </c>
      <c r="D264" s="118">
        <v>0</v>
      </c>
      <c r="E264" s="118"/>
      <c r="F264" s="117"/>
      <c r="G264" s="121"/>
      <c r="H264" s="124"/>
      <c r="I264" s="120"/>
      <c r="J264" s="124"/>
      <c r="K264" s="124"/>
      <c r="L264" s="124"/>
      <c r="M264" s="118"/>
      <c r="N264" s="118"/>
      <c r="O264" s="118"/>
      <c r="P264" s="118"/>
      <c r="Q264" s="118"/>
      <c r="R264" s="118"/>
      <c r="S264" s="118"/>
      <c r="T264" s="118"/>
      <c r="U264" s="118"/>
      <c r="V264" s="118"/>
      <c r="W264" s="118"/>
      <c r="X264" s="118"/>
      <c r="Y264" s="118"/>
      <c r="Z264" s="118"/>
      <c r="AA264" s="118"/>
      <c r="AB264" s="118"/>
      <c r="AC264" s="118"/>
    </row>
    <row r="265" spans="1:29" ht="3" customHeight="1">
      <c r="A265" s="119"/>
      <c r="D265" s="118"/>
      <c r="E265" s="118"/>
      <c r="F265" s="117"/>
      <c r="G265" s="121"/>
      <c r="H265" s="124"/>
      <c r="I265" s="120"/>
      <c r="J265" s="124"/>
      <c r="K265" s="124"/>
      <c r="L265" s="124"/>
      <c r="M265" s="118"/>
      <c r="N265" s="118"/>
      <c r="O265" s="118"/>
      <c r="P265" s="118"/>
      <c r="Q265" s="118"/>
      <c r="R265" s="118"/>
      <c r="S265" s="118"/>
      <c r="T265" s="118"/>
      <c r="U265" s="118"/>
      <c r="V265" s="118"/>
      <c r="W265" s="118"/>
      <c r="X265" s="118"/>
      <c r="Y265" s="118"/>
      <c r="Z265" s="118"/>
      <c r="AA265" s="118"/>
      <c r="AB265" s="118"/>
      <c r="AC265" s="118"/>
    </row>
    <row r="266" spans="1:29" ht="12.75" customHeight="1">
      <c r="A266" s="119">
        <f>A264+1</f>
        <v>219</v>
      </c>
      <c r="B266" s="128" t="s">
        <v>318</v>
      </c>
      <c r="D266" s="118"/>
      <c r="E266" s="118"/>
      <c r="F266" s="117"/>
      <c r="G266" s="121"/>
      <c r="H266" s="124"/>
      <c r="I266" s="120"/>
      <c r="J266" s="124"/>
      <c r="K266" s="124"/>
      <c r="L266" s="124"/>
      <c r="M266" s="118"/>
      <c r="N266" s="118"/>
      <c r="O266" s="118"/>
      <c r="P266" s="118"/>
      <c r="Q266" s="118"/>
      <c r="R266" s="118"/>
    </row>
    <row r="267" spans="1:29" ht="12.75" customHeight="1">
      <c r="A267" s="119">
        <f>A266+1</f>
        <v>220</v>
      </c>
      <c r="B267" s="115" t="s">
        <v>86</v>
      </c>
      <c r="C267" s="126"/>
      <c r="D267" s="118"/>
      <c r="E267" s="118"/>
      <c r="F267" s="117"/>
      <c r="G267" s="121"/>
      <c r="H267" s="124"/>
      <c r="I267" s="120"/>
      <c r="J267" s="124"/>
      <c r="K267" s="124"/>
      <c r="L267" s="124"/>
      <c r="M267" s="118"/>
      <c r="N267" s="118"/>
      <c r="O267" s="118"/>
      <c r="P267" s="118"/>
      <c r="Q267" s="118"/>
      <c r="R267" s="118"/>
    </row>
    <row r="268" spans="1:29" ht="12.75" customHeight="1">
      <c r="A268" s="119">
        <f>A267+1</f>
        <v>221</v>
      </c>
      <c r="B268" s="127" t="s">
        <v>317</v>
      </c>
      <c r="C268" s="126" t="s">
        <v>316</v>
      </c>
      <c r="D268" s="118">
        <f>+'WP 7'!E10</f>
        <v>3344.42</v>
      </c>
      <c r="E268" s="133"/>
      <c r="F268" s="117"/>
      <c r="G268" s="121"/>
      <c r="H268" s="124"/>
      <c r="I268" s="124"/>
      <c r="J268" s="124"/>
      <c r="K268" s="124"/>
      <c r="L268" s="124"/>
      <c r="M268" s="118"/>
      <c r="N268" s="118"/>
      <c r="O268" s="118"/>
      <c r="P268" s="118"/>
      <c r="Q268" s="118"/>
      <c r="R268" s="118"/>
    </row>
    <row r="269" spans="1:29" ht="3" customHeight="1">
      <c r="A269" s="119"/>
      <c r="D269" s="118"/>
      <c r="E269" s="118"/>
      <c r="F269" s="117"/>
      <c r="G269" s="121"/>
      <c r="H269" s="124"/>
      <c r="I269" s="124"/>
      <c r="J269" s="124"/>
      <c r="K269" s="124"/>
      <c r="L269" s="124"/>
      <c r="M269" s="118"/>
      <c r="N269" s="118"/>
      <c r="O269" s="118"/>
      <c r="P269" s="118"/>
      <c r="Q269" s="118"/>
      <c r="R269" s="118"/>
    </row>
    <row r="270" spans="1:29" ht="12.75" customHeight="1">
      <c r="A270" s="119">
        <f>A268+1</f>
        <v>222</v>
      </c>
      <c r="B270" s="126" t="s">
        <v>315</v>
      </c>
      <c r="C270" s="126" t="s">
        <v>314</v>
      </c>
      <c r="D270" s="118">
        <f>'WP 8'!C6</f>
        <v>2613313.2799999998</v>
      </c>
      <c r="F270" s="117"/>
      <c r="G270" s="121"/>
      <c r="H270" s="124"/>
      <c r="I270" s="124"/>
      <c r="J270" s="120"/>
      <c r="K270" s="120"/>
      <c r="L270" s="120"/>
    </row>
    <row r="271" spans="1:29" ht="13.2">
      <c r="A271" s="119">
        <f>A270+1</f>
        <v>223</v>
      </c>
      <c r="B271" s="299" t="s">
        <v>313</v>
      </c>
      <c r="D271" s="118">
        <v>0</v>
      </c>
      <c r="F271" s="117"/>
      <c r="G271" s="121"/>
      <c r="H271" s="124"/>
      <c r="I271" s="124"/>
      <c r="J271" s="120"/>
      <c r="K271" s="120"/>
      <c r="L271" s="120"/>
    </row>
    <row r="272" spans="1:29" ht="3" customHeight="1">
      <c r="A272" s="119"/>
      <c r="D272" s="118"/>
      <c r="F272" s="117"/>
      <c r="G272" s="121"/>
      <c r="H272" s="124"/>
      <c r="I272" s="124"/>
      <c r="J272" s="120"/>
      <c r="K272" s="120"/>
      <c r="L272" s="120"/>
    </row>
    <row r="273" spans="1:29" ht="12.75" customHeight="1">
      <c r="A273" s="119">
        <f>A271+1</f>
        <v>224</v>
      </c>
      <c r="B273" s="129" t="s">
        <v>312</v>
      </c>
      <c r="D273" s="118">
        <v>0</v>
      </c>
      <c r="F273" s="117"/>
      <c r="G273" s="121"/>
      <c r="H273" s="124"/>
      <c r="I273" s="124"/>
      <c r="J273" s="120"/>
      <c r="K273" s="120"/>
      <c r="L273" s="120"/>
    </row>
    <row r="274" spans="1:29" ht="12.75" customHeight="1">
      <c r="A274" s="119">
        <f>A273+1</f>
        <v>225</v>
      </c>
      <c r="B274" s="114" t="s">
        <v>311</v>
      </c>
      <c r="D274" s="118">
        <v>0</v>
      </c>
      <c r="F274" s="117"/>
      <c r="G274" s="125"/>
      <c r="H274" s="124"/>
      <c r="I274" s="124"/>
      <c r="J274" s="120"/>
      <c r="K274" s="120"/>
      <c r="L274" s="120"/>
    </row>
    <row r="275" spans="1:29" ht="3" customHeight="1">
      <c r="A275" s="119"/>
      <c r="C275" s="126"/>
      <c r="D275" s="118"/>
      <c r="F275" s="117"/>
      <c r="G275" s="121"/>
      <c r="H275" s="124"/>
      <c r="I275" s="124"/>
      <c r="J275" s="120"/>
      <c r="K275" s="120"/>
      <c r="L275" s="120"/>
    </row>
    <row r="276" spans="1:29" ht="12.75" customHeight="1">
      <c r="A276" s="119">
        <f>+A274+1</f>
        <v>226</v>
      </c>
      <c r="B276" s="129" t="s">
        <v>310</v>
      </c>
      <c r="D276" s="118">
        <v>0</v>
      </c>
      <c r="F276" s="117"/>
      <c r="G276" s="121"/>
      <c r="H276" s="124"/>
      <c r="I276" s="124"/>
      <c r="J276" s="120"/>
      <c r="K276" s="120"/>
      <c r="L276" s="120"/>
    </row>
    <row r="277" spans="1:29" ht="12.75" customHeight="1">
      <c r="A277" s="119">
        <f>A276+1</f>
        <v>227</v>
      </c>
      <c r="B277" s="129" t="s">
        <v>309</v>
      </c>
      <c r="D277" s="118">
        <v>0</v>
      </c>
      <c r="F277" s="117"/>
      <c r="G277" s="121"/>
      <c r="H277" s="124"/>
      <c r="I277" s="120"/>
      <c r="J277" s="120"/>
      <c r="K277" s="120"/>
      <c r="L277" s="120"/>
    </row>
    <row r="278" spans="1:29" ht="3" customHeight="1">
      <c r="A278" s="119"/>
      <c r="B278" s="128"/>
      <c r="D278" s="118"/>
      <c r="F278" s="117"/>
      <c r="G278" s="121"/>
      <c r="H278" s="124"/>
      <c r="I278" s="124"/>
      <c r="J278" s="120"/>
      <c r="K278" s="120"/>
      <c r="L278" s="120"/>
    </row>
    <row r="279" spans="1:29" ht="12.75" customHeight="1">
      <c r="A279" s="119">
        <f>A277+1</f>
        <v>228</v>
      </c>
      <c r="B279" s="129" t="s">
        <v>308</v>
      </c>
      <c r="C279" s="126"/>
      <c r="D279" s="118">
        <v>0</v>
      </c>
      <c r="E279" s="128"/>
      <c r="F279" s="117"/>
      <c r="G279" s="121"/>
      <c r="H279" s="124"/>
      <c r="I279" s="124"/>
      <c r="J279" s="117"/>
      <c r="K279" s="117"/>
      <c r="L279" s="117"/>
    </row>
    <row r="280" spans="1:29" ht="12.75" customHeight="1">
      <c r="A280" s="119">
        <f>A279+1</f>
        <v>229</v>
      </c>
      <c r="B280" s="129" t="s">
        <v>307</v>
      </c>
      <c r="D280" s="118">
        <v>0</v>
      </c>
      <c r="F280" s="117"/>
      <c r="G280" s="121"/>
      <c r="H280" s="124"/>
      <c r="I280" s="124"/>
      <c r="J280" s="120"/>
      <c r="K280" s="120"/>
      <c r="L280" s="120"/>
    </row>
    <row r="281" spans="1:29" ht="3" customHeight="1">
      <c r="A281" s="119"/>
      <c r="D281" s="118"/>
      <c r="F281" s="117"/>
      <c r="G281" s="121"/>
      <c r="H281" s="124"/>
      <c r="I281" s="124"/>
      <c r="J281" s="120"/>
      <c r="K281" s="120"/>
      <c r="L281" s="120"/>
    </row>
    <row r="282" spans="1:29" ht="12.75" customHeight="1">
      <c r="A282" s="119">
        <f>A280+1</f>
        <v>230</v>
      </c>
      <c r="B282" s="128" t="s">
        <v>306</v>
      </c>
      <c r="D282" s="118"/>
      <c r="F282" s="117"/>
      <c r="G282" s="121"/>
      <c r="H282" s="124"/>
      <c r="I282" s="124"/>
      <c r="J282" s="120"/>
      <c r="K282" s="120"/>
      <c r="L282" s="120"/>
    </row>
    <row r="283" spans="1:29" ht="12.75" customHeight="1">
      <c r="A283" s="119">
        <f t="shared" ref="A283:A289" si="10">A282+1</f>
        <v>231</v>
      </c>
      <c r="B283" s="114" t="s">
        <v>305</v>
      </c>
      <c r="C283" s="126" t="s">
        <v>304</v>
      </c>
      <c r="D283" s="118">
        <f>'WP 10'!M24</f>
        <v>2575548.5833333335</v>
      </c>
      <c r="F283" s="117"/>
      <c r="G283" s="121"/>
      <c r="H283" s="124"/>
      <c r="I283" s="124"/>
      <c r="J283" s="120"/>
      <c r="K283" s="120"/>
      <c r="L283" s="120"/>
    </row>
    <row r="284" spans="1:29" ht="12.75" customHeight="1">
      <c r="A284" s="119">
        <f t="shared" si="10"/>
        <v>232</v>
      </c>
      <c r="B284" s="129" t="s">
        <v>303</v>
      </c>
      <c r="F284" s="117"/>
      <c r="G284" s="121"/>
      <c r="H284" s="124"/>
      <c r="I284" s="124"/>
      <c r="J284" s="120"/>
      <c r="K284" s="120"/>
      <c r="L284" s="120"/>
    </row>
    <row r="285" spans="1:29" ht="12.75" customHeight="1">
      <c r="A285" s="119">
        <f t="shared" si="10"/>
        <v>233</v>
      </c>
      <c r="B285" s="129" t="s">
        <v>302</v>
      </c>
      <c r="D285" s="118"/>
      <c r="E285" s="118"/>
      <c r="F285" s="117"/>
      <c r="G285" s="121"/>
      <c r="H285" s="120"/>
      <c r="I285" s="124"/>
      <c r="J285" s="124"/>
      <c r="K285" s="124"/>
      <c r="L285" s="124"/>
      <c r="M285" s="118"/>
      <c r="N285" s="118"/>
      <c r="O285" s="118"/>
      <c r="P285" s="118"/>
      <c r="Q285" s="118"/>
      <c r="R285" s="118"/>
      <c r="S285" s="118"/>
      <c r="T285" s="118"/>
      <c r="U285" s="118"/>
      <c r="V285" s="118"/>
      <c r="W285" s="118"/>
      <c r="X285" s="118"/>
      <c r="Y285" s="118"/>
      <c r="Z285" s="118"/>
      <c r="AA285" s="118"/>
      <c r="AB285" s="118"/>
      <c r="AC285" s="118"/>
    </row>
    <row r="286" spans="1:29" ht="12.75" customHeight="1">
      <c r="A286" s="119">
        <f t="shared" si="10"/>
        <v>234</v>
      </c>
      <c r="B286" s="129" t="s">
        <v>301</v>
      </c>
      <c r="D286" s="118"/>
      <c r="E286" s="118"/>
      <c r="F286" s="117"/>
      <c r="G286" s="121"/>
      <c r="H286" s="124"/>
      <c r="I286" s="120"/>
      <c r="J286" s="124"/>
      <c r="K286" s="124"/>
      <c r="L286" s="124"/>
      <c r="M286" s="118"/>
      <c r="N286" s="118"/>
      <c r="O286" s="118"/>
      <c r="P286" s="118"/>
      <c r="Q286" s="118"/>
      <c r="R286" s="118"/>
      <c r="S286" s="118"/>
      <c r="T286" s="118"/>
      <c r="U286" s="118"/>
      <c r="V286" s="118"/>
      <c r="W286" s="118"/>
      <c r="X286" s="118"/>
      <c r="Y286" s="118"/>
      <c r="Z286" s="118"/>
      <c r="AA286" s="118"/>
      <c r="AB286" s="118"/>
      <c r="AC286" s="118"/>
    </row>
    <row r="287" spans="1:29" ht="12.75" customHeight="1">
      <c r="A287" s="119">
        <f t="shared" si="10"/>
        <v>235</v>
      </c>
      <c r="B287" s="114" t="s">
        <v>300</v>
      </c>
      <c r="D287" s="118"/>
      <c r="E287" s="118"/>
      <c r="F287" s="117"/>
      <c r="G287" s="121"/>
      <c r="H287" s="124"/>
      <c r="I287" s="120"/>
      <c r="J287" s="124"/>
      <c r="K287" s="124"/>
      <c r="L287" s="124"/>
      <c r="M287" s="118"/>
      <c r="N287" s="118"/>
      <c r="O287" s="118"/>
      <c r="P287" s="118"/>
      <c r="Q287" s="118"/>
      <c r="R287" s="118"/>
      <c r="S287" s="118"/>
      <c r="T287" s="118"/>
      <c r="U287" s="118"/>
      <c r="V287" s="118"/>
      <c r="W287" s="118"/>
      <c r="X287" s="118"/>
      <c r="Y287" s="118"/>
      <c r="Z287" s="118"/>
      <c r="AA287" s="118"/>
      <c r="AB287" s="118"/>
      <c r="AC287" s="118"/>
    </row>
    <row r="288" spans="1:29" ht="12.75" customHeight="1">
      <c r="A288" s="119">
        <f t="shared" si="10"/>
        <v>236</v>
      </c>
      <c r="B288" s="129" t="s">
        <v>299</v>
      </c>
      <c r="D288" s="118"/>
      <c r="E288" s="118"/>
      <c r="F288" s="117"/>
      <c r="G288" s="121"/>
      <c r="H288" s="124"/>
      <c r="I288" s="120"/>
      <c r="J288" s="124"/>
      <c r="K288" s="124"/>
      <c r="L288" s="124"/>
      <c r="M288" s="118"/>
      <c r="N288" s="118"/>
      <c r="O288" s="118"/>
      <c r="P288" s="118"/>
      <c r="Q288" s="118"/>
      <c r="R288" s="118"/>
      <c r="S288" s="118"/>
      <c r="T288" s="118"/>
      <c r="U288" s="118"/>
      <c r="V288" s="118"/>
      <c r="W288" s="118"/>
      <c r="X288" s="118"/>
      <c r="Y288" s="118"/>
      <c r="Z288" s="118"/>
      <c r="AA288" s="118"/>
      <c r="AB288" s="118"/>
      <c r="AC288" s="118"/>
    </row>
    <row r="289" spans="1:29" ht="12.75" customHeight="1">
      <c r="A289" s="119">
        <f t="shared" si="10"/>
        <v>237</v>
      </c>
      <c r="B289" s="129" t="s">
        <v>298</v>
      </c>
      <c r="D289" s="118"/>
      <c r="E289" s="118"/>
      <c r="F289" s="117"/>
      <c r="G289" s="121"/>
      <c r="H289" s="124"/>
      <c r="I289" s="120"/>
      <c r="J289" s="124"/>
      <c r="K289" s="124"/>
      <c r="L289" s="124"/>
      <c r="M289" s="118"/>
      <c r="N289" s="118"/>
      <c r="O289" s="118"/>
      <c r="P289" s="118"/>
      <c r="Q289" s="118"/>
      <c r="R289" s="118"/>
      <c r="S289" s="118"/>
      <c r="T289" s="118"/>
      <c r="U289" s="118"/>
      <c r="V289" s="118"/>
      <c r="W289" s="118"/>
      <c r="X289" s="118"/>
      <c r="Y289" s="118"/>
      <c r="Z289" s="118"/>
      <c r="AA289" s="118"/>
      <c r="AB289" s="118"/>
      <c r="AC289" s="118"/>
    </row>
    <row r="290" spans="1:29" ht="3" customHeight="1">
      <c r="A290" s="119"/>
      <c r="D290" s="118"/>
      <c r="E290" s="118"/>
      <c r="F290" s="117"/>
      <c r="G290" s="121"/>
      <c r="H290" s="124"/>
      <c r="I290" s="120"/>
      <c r="J290" s="124"/>
      <c r="K290" s="124"/>
      <c r="L290" s="124"/>
      <c r="M290" s="118"/>
      <c r="N290" s="118"/>
      <c r="O290" s="118"/>
      <c r="P290" s="118"/>
      <c r="Q290" s="118"/>
      <c r="R290" s="118"/>
      <c r="S290" s="118"/>
      <c r="T290" s="118"/>
      <c r="U290" s="118"/>
      <c r="V290" s="118"/>
      <c r="W290" s="118"/>
      <c r="X290" s="118"/>
      <c r="Y290" s="118"/>
      <c r="Z290" s="118"/>
      <c r="AA290" s="118"/>
      <c r="AB290" s="118"/>
      <c r="AC290" s="118"/>
    </row>
    <row r="291" spans="1:29" ht="12.75" customHeight="1">
      <c r="A291" s="119">
        <f>A289+1</f>
        <v>238</v>
      </c>
      <c r="B291" s="128" t="s">
        <v>297</v>
      </c>
      <c r="D291" s="118"/>
      <c r="E291" s="118"/>
      <c r="F291" s="117"/>
      <c r="G291" s="121"/>
      <c r="H291" s="124"/>
      <c r="I291" s="120"/>
      <c r="J291" s="124"/>
      <c r="K291" s="124"/>
      <c r="L291" s="124"/>
      <c r="M291" s="118"/>
      <c r="N291" s="118"/>
      <c r="O291" s="118"/>
      <c r="P291" s="118"/>
      <c r="Q291" s="118"/>
      <c r="R291" s="118"/>
      <c r="S291" s="118"/>
      <c r="T291" s="118"/>
      <c r="U291" s="118"/>
      <c r="V291" s="118"/>
      <c r="W291" s="118"/>
      <c r="X291" s="118"/>
      <c r="Y291" s="118"/>
      <c r="Z291" s="118"/>
      <c r="AA291" s="118"/>
      <c r="AB291" s="118"/>
      <c r="AC291" s="118"/>
    </row>
    <row r="292" spans="1:29" ht="12.75" customHeight="1">
      <c r="A292" s="119">
        <f>A291+1</f>
        <v>239</v>
      </c>
      <c r="B292" s="127" t="s">
        <v>109</v>
      </c>
      <c r="C292" s="126" t="s">
        <v>295</v>
      </c>
      <c r="D292" s="211">
        <f>+'WP 11'!D12</f>
        <v>0.35</v>
      </c>
      <c r="E292" s="118"/>
      <c r="F292" s="117"/>
      <c r="G292" s="121"/>
      <c r="H292" s="124"/>
      <c r="I292" s="120"/>
      <c r="J292" s="124"/>
      <c r="K292" s="124"/>
      <c r="L292" s="124"/>
      <c r="M292" s="118"/>
      <c r="N292" s="118"/>
      <c r="O292" s="118"/>
      <c r="P292" s="118"/>
      <c r="Q292" s="118"/>
      <c r="R292" s="118"/>
      <c r="S292" s="118"/>
      <c r="T292" s="118"/>
      <c r="U292" s="118"/>
      <c r="V292" s="118"/>
      <c r="W292" s="118"/>
      <c r="X292" s="118"/>
      <c r="Y292" s="118"/>
      <c r="Z292" s="118"/>
      <c r="AA292" s="118"/>
      <c r="AB292" s="118"/>
      <c r="AC292" s="118"/>
    </row>
    <row r="293" spans="1:29" ht="12.75" customHeight="1">
      <c r="A293" s="119">
        <f>A292+1</f>
        <v>240</v>
      </c>
      <c r="B293" s="127" t="s">
        <v>110</v>
      </c>
      <c r="C293" s="126" t="s">
        <v>295</v>
      </c>
      <c r="D293" s="211">
        <f>+'WP 11'!E12</f>
        <v>0.05</v>
      </c>
      <c r="E293" s="118"/>
      <c r="F293" s="117"/>
      <c r="G293" s="125"/>
      <c r="H293" s="123"/>
      <c r="I293" s="120"/>
      <c r="J293" s="124"/>
      <c r="K293" s="124"/>
      <c r="L293" s="124"/>
      <c r="M293" s="118"/>
      <c r="N293" s="118"/>
      <c r="O293" s="118"/>
      <c r="P293" s="118"/>
      <c r="Q293" s="118"/>
      <c r="R293" s="118"/>
      <c r="S293" s="118"/>
      <c r="T293" s="118"/>
      <c r="U293" s="118"/>
      <c r="V293" s="118"/>
      <c r="W293" s="118"/>
      <c r="X293" s="118"/>
      <c r="Y293" s="118"/>
      <c r="Z293" s="118"/>
      <c r="AA293" s="118"/>
      <c r="AB293" s="118"/>
      <c r="AC293" s="118"/>
    </row>
    <row r="294" spans="1:29" ht="12.75" customHeight="1">
      <c r="A294" s="119">
        <f>A293+1</f>
        <v>241</v>
      </c>
      <c r="B294" s="127" t="s">
        <v>296</v>
      </c>
      <c r="C294" s="126" t="s">
        <v>295</v>
      </c>
      <c r="D294" s="211">
        <v>0</v>
      </c>
      <c r="E294" s="118"/>
      <c r="F294" s="117"/>
      <c r="G294" s="125"/>
      <c r="H294" s="123"/>
      <c r="I294" s="120"/>
      <c r="J294" s="124"/>
      <c r="K294" s="124"/>
      <c r="L294" s="124"/>
      <c r="M294" s="118"/>
      <c r="N294" s="118"/>
      <c r="O294" s="118"/>
      <c r="P294" s="118"/>
      <c r="Q294" s="118"/>
      <c r="R294" s="118"/>
      <c r="S294" s="118"/>
      <c r="T294" s="118"/>
      <c r="U294" s="118"/>
      <c r="V294" s="118"/>
      <c r="W294" s="118"/>
      <c r="X294" s="118"/>
      <c r="Y294" s="118"/>
      <c r="Z294" s="118"/>
      <c r="AA294" s="118"/>
      <c r="AB294" s="118"/>
      <c r="AC294" s="118"/>
    </row>
    <row r="295" spans="1:29" ht="3" customHeight="1">
      <c r="A295" s="119"/>
      <c r="F295" s="117"/>
      <c r="G295" s="121"/>
      <c r="H295" s="123"/>
      <c r="I295" s="120"/>
      <c r="J295" s="120"/>
      <c r="K295" s="120"/>
      <c r="L295" s="120"/>
    </row>
    <row r="296" spans="1:29" ht="12.75" customHeight="1">
      <c r="A296" s="119">
        <f>A294+1</f>
        <v>242</v>
      </c>
      <c r="B296" s="122" t="s">
        <v>294</v>
      </c>
      <c r="F296" s="117"/>
      <c r="G296" s="121"/>
      <c r="H296" s="120"/>
    </row>
    <row r="297" spans="1:29" ht="12.75" customHeight="1">
      <c r="A297" s="119">
        <f>A296+1</f>
        <v>243</v>
      </c>
      <c r="B297" s="114" t="s">
        <v>293</v>
      </c>
      <c r="C297" s="115" t="s">
        <v>291</v>
      </c>
      <c r="D297" s="118">
        <f>+'WP 14'!H34</f>
        <v>17274.178011381373</v>
      </c>
      <c r="F297" s="117"/>
    </row>
    <row r="298" spans="1:29" ht="12.75" customHeight="1">
      <c r="A298" s="119">
        <f>A297+1</f>
        <v>244</v>
      </c>
      <c r="B298" s="114" t="s">
        <v>292</v>
      </c>
      <c r="C298" s="115" t="s">
        <v>291</v>
      </c>
      <c r="D298" s="118">
        <f>+'WP 14'!H39</f>
        <v>127575.15626247224</v>
      </c>
      <c r="F298" s="117"/>
    </row>
    <row r="315" spans="11:11" ht="12.75" customHeight="1">
      <c r="K315" s="116"/>
    </row>
  </sheetData>
  <mergeCells count="14">
    <mergeCell ref="R58:T58"/>
    <mergeCell ref="R4:T4"/>
    <mergeCell ref="U58:W58"/>
    <mergeCell ref="AA58:AC58"/>
    <mergeCell ref="X4:Z4"/>
    <mergeCell ref="AA4:AC4"/>
    <mergeCell ref="X58:Z58"/>
    <mergeCell ref="U4:W4"/>
    <mergeCell ref="A1:D1"/>
    <mergeCell ref="A2:D2"/>
    <mergeCell ref="A3:D3"/>
    <mergeCell ref="O4:Q4"/>
    <mergeCell ref="M58:N58"/>
    <mergeCell ref="O58:Q58"/>
  </mergeCells>
  <printOptions horizontalCentered="1"/>
  <pageMargins left="0.7" right="0.7" top="0.75" bottom="0.75" header="0.3" footer="0.3"/>
  <pageSetup scale="77" fitToHeight="5" orientation="portrait" r:id="rId1"/>
  <headerFooter>
    <oddFooter>&amp;C&amp;P of &amp;N&amp;RWP 1</oddFooter>
  </headerFooter>
  <rowBreaks count="4" manualBreakCount="4">
    <brk id="58" max="3" man="1"/>
    <brk id="116" max="3" man="1"/>
    <brk id="171" max="3" man="1"/>
    <brk id="234"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3">
    <pageSetUpPr fitToPage="1"/>
  </sheetPr>
  <dimension ref="A1:F269"/>
  <sheetViews>
    <sheetView zoomScale="85" zoomScaleNormal="85" workbookViewId="0">
      <pane ySplit="10" topLeftCell="A11" activePane="bottomLeft" state="frozenSplit"/>
      <selection pane="bottomLeft" activeCell="N47" sqref="N47"/>
    </sheetView>
  </sheetViews>
  <sheetFormatPr defaultRowHeight="13.2"/>
  <cols>
    <col min="1" max="1" width="46.88671875" style="98" customWidth="1"/>
    <col min="2" max="2" width="13.6640625" style="98" bestFit="1" customWidth="1"/>
    <col min="3" max="3" width="11.6640625" style="98" bestFit="1" customWidth="1"/>
    <col min="4" max="6" width="16" style="98" bestFit="1" customWidth="1"/>
    <col min="7" max="256" width="9.109375" style="98"/>
    <col min="257" max="257" width="46.88671875" style="98" customWidth="1"/>
    <col min="258" max="258" width="13.6640625" style="98" bestFit="1" customWidth="1"/>
    <col min="259" max="259" width="40.5546875" style="98" bestFit="1" customWidth="1"/>
    <col min="260" max="262" width="10.6640625" style="98" customWidth="1"/>
    <col min="263" max="512" width="9.109375" style="98"/>
    <col min="513" max="513" width="46.88671875" style="98" customWidth="1"/>
    <col min="514" max="514" width="13.6640625" style="98" bestFit="1" customWidth="1"/>
    <col min="515" max="515" width="40.5546875" style="98" bestFit="1" customWidth="1"/>
    <col min="516" max="518" width="10.6640625" style="98" customWidth="1"/>
    <col min="519" max="768" width="9.109375" style="98"/>
    <col min="769" max="769" width="46.88671875" style="98" customWidth="1"/>
    <col min="770" max="770" width="13.6640625" style="98" bestFit="1" customWidth="1"/>
    <col min="771" max="771" width="40.5546875" style="98" bestFit="1" customWidth="1"/>
    <col min="772" max="774" width="10.6640625" style="98" customWidth="1"/>
    <col min="775" max="1024" width="9.109375" style="98"/>
    <col min="1025" max="1025" width="46.88671875" style="98" customWidth="1"/>
    <col min="1026" max="1026" width="13.6640625" style="98" bestFit="1" customWidth="1"/>
    <col min="1027" max="1027" width="40.5546875" style="98" bestFit="1" customWidth="1"/>
    <col min="1028" max="1030" width="10.6640625" style="98" customWidth="1"/>
    <col min="1031" max="1280" width="9.109375" style="98"/>
    <col min="1281" max="1281" width="46.88671875" style="98" customWidth="1"/>
    <col min="1282" max="1282" width="13.6640625" style="98" bestFit="1" customWidth="1"/>
    <col min="1283" max="1283" width="40.5546875" style="98" bestFit="1" customWidth="1"/>
    <col min="1284" max="1286" width="10.6640625" style="98" customWidth="1"/>
    <col min="1287" max="1536" width="9.109375" style="98"/>
    <col min="1537" max="1537" width="46.88671875" style="98" customWidth="1"/>
    <col min="1538" max="1538" width="13.6640625" style="98" bestFit="1" customWidth="1"/>
    <col min="1539" max="1539" width="40.5546875" style="98" bestFit="1" customWidth="1"/>
    <col min="1540" max="1542" width="10.6640625" style="98" customWidth="1"/>
    <col min="1543" max="1792" width="9.109375" style="98"/>
    <col min="1793" max="1793" width="46.88671875" style="98" customWidth="1"/>
    <col min="1794" max="1794" width="13.6640625" style="98" bestFit="1" customWidth="1"/>
    <col min="1795" max="1795" width="40.5546875" style="98" bestFit="1" customWidth="1"/>
    <col min="1796" max="1798" width="10.6640625" style="98" customWidth="1"/>
    <col min="1799" max="2048" width="9.109375" style="98"/>
    <col min="2049" max="2049" width="46.88671875" style="98" customWidth="1"/>
    <col min="2050" max="2050" width="13.6640625" style="98" bestFit="1" customWidth="1"/>
    <col min="2051" max="2051" width="40.5546875" style="98" bestFit="1" customWidth="1"/>
    <col min="2052" max="2054" width="10.6640625" style="98" customWidth="1"/>
    <col min="2055" max="2304" width="9.109375" style="98"/>
    <col min="2305" max="2305" width="46.88671875" style="98" customWidth="1"/>
    <col min="2306" max="2306" width="13.6640625" style="98" bestFit="1" customWidth="1"/>
    <col min="2307" max="2307" width="40.5546875" style="98" bestFit="1" customWidth="1"/>
    <col min="2308" max="2310" width="10.6640625" style="98" customWidth="1"/>
    <col min="2311" max="2560" width="9.109375" style="98"/>
    <col min="2561" max="2561" width="46.88671875" style="98" customWidth="1"/>
    <col min="2562" max="2562" width="13.6640625" style="98" bestFit="1" customWidth="1"/>
    <col min="2563" max="2563" width="40.5546875" style="98" bestFit="1" customWidth="1"/>
    <col min="2564" max="2566" width="10.6640625" style="98" customWidth="1"/>
    <col min="2567" max="2816" width="9.109375" style="98"/>
    <col min="2817" max="2817" width="46.88671875" style="98" customWidth="1"/>
    <col min="2818" max="2818" width="13.6640625" style="98" bestFit="1" customWidth="1"/>
    <col min="2819" max="2819" width="40.5546875" style="98" bestFit="1" customWidth="1"/>
    <col min="2820" max="2822" width="10.6640625" style="98" customWidth="1"/>
    <col min="2823" max="3072" width="9.109375" style="98"/>
    <col min="3073" max="3073" width="46.88671875" style="98" customWidth="1"/>
    <col min="3074" max="3074" width="13.6640625" style="98" bestFit="1" customWidth="1"/>
    <col min="3075" max="3075" width="40.5546875" style="98" bestFit="1" customWidth="1"/>
    <col min="3076" max="3078" width="10.6640625" style="98" customWidth="1"/>
    <col min="3079" max="3328" width="9.109375" style="98"/>
    <col min="3329" max="3329" width="46.88671875" style="98" customWidth="1"/>
    <col min="3330" max="3330" width="13.6640625" style="98" bestFit="1" customWidth="1"/>
    <col min="3331" max="3331" width="40.5546875" style="98" bestFit="1" customWidth="1"/>
    <col min="3332" max="3334" width="10.6640625" style="98" customWidth="1"/>
    <col min="3335" max="3584" width="9.109375" style="98"/>
    <col min="3585" max="3585" width="46.88671875" style="98" customWidth="1"/>
    <col min="3586" max="3586" width="13.6640625" style="98" bestFit="1" customWidth="1"/>
    <col min="3587" max="3587" width="40.5546875" style="98" bestFit="1" customWidth="1"/>
    <col min="3588" max="3590" width="10.6640625" style="98" customWidth="1"/>
    <col min="3591" max="3840" width="9.109375" style="98"/>
    <col min="3841" max="3841" width="46.88671875" style="98" customWidth="1"/>
    <col min="3842" max="3842" width="13.6640625" style="98" bestFit="1" customWidth="1"/>
    <col min="3843" max="3843" width="40.5546875" style="98" bestFit="1" customWidth="1"/>
    <col min="3844" max="3846" width="10.6640625" style="98" customWidth="1"/>
    <col min="3847" max="4096" width="9.109375" style="98"/>
    <col min="4097" max="4097" width="46.88671875" style="98" customWidth="1"/>
    <col min="4098" max="4098" width="13.6640625" style="98" bestFit="1" customWidth="1"/>
    <col min="4099" max="4099" width="40.5546875" style="98" bestFit="1" customWidth="1"/>
    <col min="4100" max="4102" width="10.6640625" style="98" customWidth="1"/>
    <col min="4103" max="4352" width="9.109375" style="98"/>
    <col min="4353" max="4353" width="46.88671875" style="98" customWidth="1"/>
    <col min="4354" max="4354" width="13.6640625" style="98" bestFit="1" customWidth="1"/>
    <col min="4355" max="4355" width="40.5546875" style="98" bestFit="1" customWidth="1"/>
    <col min="4356" max="4358" width="10.6640625" style="98" customWidth="1"/>
    <col min="4359" max="4608" width="9.109375" style="98"/>
    <col min="4609" max="4609" width="46.88671875" style="98" customWidth="1"/>
    <col min="4610" max="4610" width="13.6640625" style="98" bestFit="1" customWidth="1"/>
    <col min="4611" max="4611" width="40.5546875" style="98" bestFit="1" customWidth="1"/>
    <col min="4612" max="4614" width="10.6640625" style="98" customWidth="1"/>
    <col min="4615" max="4864" width="9.109375" style="98"/>
    <col min="4865" max="4865" width="46.88671875" style="98" customWidth="1"/>
    <col min="4866" max="4866" width="13.6640625" style="98" bestFit="1" customWidth="1"/>
    <col min="4867" max="4867" width="40.5546875" style="98" bestFit="1" customWidth="1"/>
    <col min="4868" max="4870" width="10.6640625" style="98" customWidth="1"/>
    <col min="4871" max="5120" width="9.109375" style="98"/>
    <col min="5121" max="5121" width="46.88671875" style="98" customWidth="1"/>
    <col min="5122" max="5122" width="13.6640625" style="98" bestFit="1" customWidth="1"/>
    <col min="5123" max="5123" width="40.5546875" style="98" bestFit="1" customWidth="1"/>
    <col min="5124" max="5126" width="10.6640625" style="98" customWidth="1"/>
    <col min="5127" max="5376" width="9.109375" style="98"/>
    <col min="5377" max="5377" width="46.88671875" style="98" customWidth="1"/>
    <col min="5378" max="5378" width="13.6640625" style="98" bestFit="1" customWidth="1"/>
    <col min="5379" max="5379" width="40.5546875" style="98" bestFit="1" customWidth="1"/>
    <col min="5380" max="5382" width="10.6640625" style="98" customWidth="1"/>
    <col min="5383" max="5632" width="9.109375" style="98"/>
    <col min="5633" max="5633" width="46.88671875" style="98" customWidth="1"/>
    <col min="5634" max="5634" width="13.6640625" style="98" bestFit="1" customWidth="1"/>
    <col min="5635" max="5635" width="40.5546875" style="98" bestFit="1" customWidth="1"/>
    <col min="5636" max="5638" width="10.6640625" style="98" customWidth="1"/>
    <col min="5639" max="5888" width="9.109375" style="98"/>
    <col min="5889" max="5889" width="46.88671875" style="98" customWidth="1"/>
    <col min="5890" max="5890" width="13.6640625" style="98" bestFit="1" customWidth="1"/>
    <col min="5891" max="5891" width="40.5546875" style="98" bestFit="1" customWidth="1"/>
    <col min="5892" max="5894" width="10.6640625" style="98" customWidth="1"/>
    <col min="5895" max="6144" width="9.109375" style="98"/>
    <col min="6145" max="6145" width="46.88671875" style="98" customWidth="1"/>
    <col min="6146" max="6146" width="13.6640625" style="98" bestFit="1" customWidth="1"/>
    <col min="6147" max="6147" width="40.5546875" style="98" bestFit="1" customWidth="1"/>
    <col min="6148" max="6150" width="10.6640625" style="98" customWidth="1"/>
    <col min="6151" max="6400" width="9.109375" style="98"/>
    <col min="6401" max="6401" width="46.88671875" style="98" customWidth="1"/>
    <col min="6402" max="6402" width="13.6640625" style="98" bestFit="1" customWidth="1"/>
    <col min="6403" max="6403" width="40.5546875" style="98" bestFit="1" customWidth="1"/>
    <col min="6404" max="6406" width="10.6640625" style="98" customWidth="1"/>
    <col min="6407" max="6656" width="9.109375" style="98"/>
    <col min="6657" max="6657" width="46.88671875" style="98" customWidth="1"/>
    <col min="6658" max="6658" width="13.6640625" style="98" bestFit="1" customWidth="1"/>
    <col min="6659" max="6659" width="40.5546875" style="98" bestFit="1" customWidth="1"/>
    <col min="6660" max="6662" width="10.6640625" style="98" customWidth="1"/>
    <col min="6663" max="6912" width="9.109375" style="98"/>
    <col min="6913" max="6913" width="46.88671875" style="98" customWidth="1"/>
    <col min="6914" max="6914" width="13.6640625" style="98" bestFit="1" customWidth="1"/>
    <col min="6915" max="6915" width="40.5546875" style="98" bestFit="1" customWidth="1"/>
    <col min="6916" max="6918" width="10.6640625" style="98" customWidth="1"/>
    <col min="6919" max="7168" width="9.109375" style="98"/>
    <col min="7169" max="7169" width="46.88671875" style="98" customWidth="1"/>
    <col min="7170" max="7170" width="13.6640625" style="98" bestFit="1" customWidth="1"/>
    <col min="7171" max="7171" width="40.5546875" style="98" bestFit="1" customWidth="1"/>
    <col min="7172" max="7174" width="10.6640625" style="98" customWidth="1"/>
    <col min="7175" max="7424" width="9.109375" style="98"/>
    <col min="7425" max="7425" width="46.88671875" style="98" customWidth="1"/>
    <col min="7426" max="7426" width="13.6640625" style="98" bestFit="1" customWidth="1"/>
    <col min="7427" max="7427" width="40.5546875" style="98" bestFit="1" customWidth="1"/>
    <col min="7428" max="7430" width="10.6640625" style="98" customWidth="1"/>
    <col min="7431" max="7680" width="9.109375" style="98"/>
    <col min="7681" max="7681" width="46.88671875" style="98" customWidth="1"/>
    <col min="7682" max="7682" width="13.6640625" style="98" bestFit="1" customWidth="1"/>
    <col min="7683" max="7683" width="40.5546875" style="98" bestFit="1" customWidth="1"/>
    <col min="7684" max="7686" width="10.6640625" style="98" customWidth="1"/>
    <col min="7687" max="7936" width="9.109375" style="98"/>
    <col min="7937" max="7937" width="46.88671875" style="98" customWidth="1"/>
    <col min="7938" max="7938" width="13.6640625" style="98" bestFit="1" customWidth="1"/>
    <col min="7939" max="7939" width="40.5546875" style="98" bestFit="1" customWidth="1"/>
    <col min="7940" max="7942" width="10.6640625" style="98" customWidth="1"/>
    <col min="7943" max="8192" width="9.109375" style="98"/>
    <col min="8193" max="8193" width="46.88671875" style="98" customWidth="1"/>
    <col min="8194" max="8194" width="13.6640625" style="98" bestFit="1" customWidth="1"/>
    <col min="8195" max="8195" width="40.5546875" style="98" bestFit="1" customWidth="1"/>
    <col min="8196" max="8198" width="10.6640625" style="98" customWidth="1"/>
    <col min="8199" max="8448" width="9.109375" style="98"/>
    <col min="8449" max="8449" width="46.88671875" style="98" customWidth="1"/>
    <col min="8450" max="8450" width="13.6640625" style="98" bestFit="1" customWidth="1"/>
    <col min="8451" max="8451" width="40.5546875" style="98" bestFit="1" customWidth="1"/>
    <col min="8452" max="8454" width="10.6640625" style="98" customWidth="1"/>
    <col min="8455" max="8704" width="9.109375" style="98"/>
    <col min="8705" max="8705" width="46.88671875" style="98" customWidth="1"/>
    <col min="8706" max="8706" width="13.6640625" style="98" bestFit="1" customWidth="1"/>
    <col min="8707" max="8707" width="40.5546875" style="98" bestFit="1" customWidth="1"/>
    <col min="8708" max="8710" width="10.6640625" style="98" customWidth="1"/>
    <col min="8711" max="8960" width="9.109375" style="98"/>
    <col min="8961" max="8961" width="46.88671875" style="98" customWidth="1"/>
    <col min="8962" max="8962" width="13.6640625" style="98" bestFit="1" customWidth="1"/>
    <col min="8963" max="8963" width="40.5546875" style="98" bestFit="1" customWidth="1"/>
    <col min="8964" max="8966" width="10.6640625" style="98" customWidth="1"/>
    <col min="8967" max="9216" width="9.109375" style="98"/>
    <col min="9217" max="9217" width="46.88671875" style="98" customWidth="1"/>
    <col min="9218" max="9218" width="13.6640625" style="98" bestFit="1" customWidth="1"/>
    <col min="9219" max="9219" width="40.5546875" style="98" bestFit="1" customWidth="1"/>
    <col min="9220" max="9222" width="10.6640625" style="98" customWidth="1"/>
    <col min="9223" max="9472" width="9.109375" style="98"/>
    <col min="9473" max="9473" width="46.88671875" style="98" customWidth="1"/>
    <col min="9474" max="9474" width="13.6640625" style="98" bestFit="1" customWidth="1"/>
    <col min="9475" max="9475" width="40.5546875" style="98" bestFit="1" customWidth="1"/>
    <col min="9476" max="9478" width="10.6640625" style="98" customWidth="1"/>
    <col min="9479" max="9728" width="9.109375" style="98"/>
    <col min="9729" max="9729" width="46.88671875" style="98" customWidth="1"/>
    <col min="9730" max="9730" width="13.6640625" style="98" bestFit="1" customWidth="1"/>
    <col min="9731" max="9731" width="40.5546875" style="98" bestFit="1" customWidth="1"/>
    <col min="9732" max="9734" width="10.6640625" style="98" customWidth="1"/>
    <col min="9735" max="9984" width="9.109375" style="98"/>
    <col min="9985" max="9985" width="46.88671875" style="98" customWidth="1"/>
    <col min="9986" max="9986" width="13.6640625" style="98" bestFit="1" customWidth="1"/>
    <col min="9987" max="9987" width="40.5546875" style="98" bestFit="1" customWidth="1"/>
    <col min="9988" max="9990" width="10.6640625" style="98" customWidth="1"/>
    <col min="9991" max="10240" width="9.109375" style="98"/>
    <col min="10241" max="10241" width="46.88671875" style="98" customWidth="1"/>
    <col min="10242" max="10242" width="13.6640625" style="98" bestFit="1" customWidth="1"/>
    <col min="10243" max="10243" width="40.5546875" style="98" bestFit="1" customWidth="1"/>
    <col min="10244" max="10246" width="10.6640625" style="98" customWidth="1"/>
    <col min="10247" max="10496" width="9.109375" style="98"/>
    <col min="10497" max="10497" width="46.88671875" style="98" customWidth="1"/>
    <col min="10498" max="10498" width="13.6640625" style="98" bestFit="1" customWidth="1"/>
    <col min="10499" max="10499" width="40.5546875" style="98" bestFit="1" customWidth="1"/>
    <col min="10500" max="10502" width="10.6640625" style="98" customWidth="1"/>
    <col min="10503" max="10752" width="9.109375" style="98"/>
    <col min="10753" max="10753" width="46.88671875" style="98" customWidth="1"/>
    <col min="10754" max="10754" width="13.6640625" style="98" bestFit="1" customWidth="1"/>
    <col min="10755" max="10755" width="40.5546875" style="98" bestFit="1" customWidth="1"/>
    <col min="10756" max="10758" width="10.6640625" style="98" customWidth="1"/>
    <col min="10759" max="11008" width="9.109375" style="98"/>
    <col min="11009" max="11009" width="46.88671875" style="98" customWidth="1"/>
    <col min="11010" max="11010" width="13.6640625" style="98" bestFit="1" customWidth="1"/>
    <col min="11011" max="11011" width="40.5546875" style="98" bestFit="1" customWidth="1"/>
    <col min="11012" max="11014" width="10.6640625" style="98" customWidth="1"/>
    <col min="11015" max="11264" width="9.109375" style="98"/>
    <col min="11265" max="11265" width="46.88671875" style="98" customWidth="1"/>
    <col min="11266" max="11266" width="13.6640625" style="98" bestFit="1" customWidth="1"/>
    <col min="11267" max="11267" width="40.5546875" style="98" bestFit="1" customWidth="1"/>
    <col min="11268" max="11270" width="10.6640625" style="98" customWidth="1"/>
    <col min="11271" max="11520" width="9.109375" style="98"/>
    <col min="11521" max="11521" width="46.88671875" style="98" customWidth="1"/>
    <col min="11522" max="11522" width="13.6640625" style="98" bestFit="1" customWidth="1"/>
    <col min="11523" max="11523" width="40.5546875" style="98" bestFit="1" customWidth="1"/>
    <col min="11524" max="11526" width="10.6640625" style="98" customWidth="1"/>
    <col min="11527" max="11776" width="9.109375" style="98"/>
    <col min="11777" max="11777" width="46.88671875" style="98" customWidth="1"/>
    <col min="11778" max="11778" width="13.6640625" style="98" bestFit="1" customWidth="1"/>
    <col min="11779" max="11779" width="40.5546875" style="98" bestFit="1" customWidth="1"/>
    <col min="11780" max="11782" width="10.6640625" style="98" customWidth="1"/>
    <col min="11783" max="12032" width="9.109375" style="98"/>
    <col min="12033" max="12033" width="46.88671875" style="98" customWidth="1"/>
    <col min="12034" max="12034" width="13.6640625" style="98" bestFit="1" customWidth="1"/>
    <col min="12035" max="12035" width="40.5546875" style="98" bestFit="1" customWidth="1"/>
    <col min="12036" max="12038" width="10.6640625" style="98" customWidth="1"/>
    <col min="12039" max="12288" width="9.109375" style="98"/>
    <col min="12289" max="12289" width="46.88671875" style="98" customWidth="1"/>
    <col min="12290" max="12290" width="13.6640625" style="98" bestFit="1" customWidth="1"/>
    <col min="12291" max="12291" width="40.5546875" style="98" bestFit="1" customWidth="1"/>
    <col min="12292" max="12294" width="10.6640625" style="98" customWidth="1"/>
    <col min="12295" max="12544" width="9.109375" style="98"/>
    <col min="12545" max="12545" width="46.88671875" style="98" customWidth="1"/>
    <col min="12546" max="12546" width="13.6640625" style="98" bestFit="1" customWidth="1"/>
    <col min="12547" max="12547" width="40.5546875" style="98" bestFit="1" customWidth="1"/>
    <col min="12548" max="12550" width="10.6640625" style="98" customWidth="1"/>
    <col min="12551" max="12800" width="9.109375" style="98"/>
    <col min="12801" max="12801" width="46.88671875" style="98" customWidth="1"/>
    <col min="12802" max="12802" width="13.6640625" style="98" bestFit="1" customWidth="1"/>
    <col min="12803" max="12803" width="40.5546875" style="98" bestFit="1" customWidth="1"/>
    <col min="12804" max="12806" width="10.6640625" style="98" customWidth="1"/>
    <col min="12807" max="13056" width="9.109375" style="98"/>
    <col min="13057" max="13057" width="46.88671875" style="98" customWidth="1"/>
    <col min="13058" max="13058" width="13.6640625" style="98" bestFit="1" customWidth="1"/>
    <col min="13059" max="13059" width="40.5546875" style="98" bestFit="1" customWidth="1"/>
    <col min="13060" max="13062" width="10.6640625" style="98" customWidth="1"/>
    <col min="13063" max="13312" width="9.109375" style="98"/>
    <col min="13313" max="13313" width="46.88671875" style="98" customWidth="1"/>
    <col min="13314" max="13314" width="13.6640625" style="98" bestFit="1" customWidth="1"/>
    <col min="13315" max="13315" width="40.5546875" style="98" bestFit="1" customWidth="1"/>
    <col min="13316" max="13318" width="10.6640625" style="98" customWidth="1"/>
    <col min="13319" max="13568" width="9.109375" style="98"/>
    <col min="13569" max="13569" width="46.88671875" style="98" customWidth="1"/>
    <col min="13570" max="13570" width="13.6640625" style="98" bestFit="1" customWidth="1"/>
    <col min="13571" max="13571" width="40.5546875" style="98" bestFit="1" customWidth="1"/>
    <col min="13572" max="13574" width="10.6640625" style="98" customWidth="1"/>
    <col min="13575" max="13824" width="9.109375" style="98"/>
    <col min="13825" max="13825" width="46.88671875" style="98" customWidth="1"/>
    <col min="13826" max="13826" width="13.6640625" style="98" bestFit="1" customWidth="1"/>
    <col min="13827" max="13827" width="40.5546875" style="98" bestFit="1" customWidth="1"/>
    <col min="13828" max="13830" width="10.6640625" style="98" customWidth="1"/>
    <col min="13831" max="14080" width="9.109375" style="98"/>
    <col min="14081" max="14081" width="46.88671875" style="98" customWidth="1"/>
    <col min="14082" max="14082" width="13.6640625" style="98" bestFit="1" customWidth="1"/>
    <col min="14083" max="14083" width="40.5546875" style="98" bestFit="1" customWidth="1"/>
    <col min="14084" max="14086" width="10.6640625" style="98" customWidth="1"/>
    <col min="14087" max="14336" width="9.109375" style="98"/>
    <col min="14337" max="14337" width="46.88671875" style="98" customWidth="1"/>
    <col min="14338" max="14338" width="13.6640625" style="98" bestFit="1" customWidth="1"/>
    <col min="14339" max="14339" width="40.5546875" style="98" bestFit="1" customWidth="1"/>
    <col min="14340" max="14342" width="10.6640625" style="98" customWidth="1"/>
    <col min="14343" max="14592" width="9.109375" style="98"/>
    <col min="14593" max="14593" width="46.88671875" style="98" customWidth="1"/>
    <col min="14594" max="14594" width="13.6640625" style="98" bestFit="1" customWidth="1"/>
    <col min="14595" max="14595" width="40.5546875" style="98" bestFit="1" customWidth="1"/>
    <col min="14596" max="14598" width="10.6640625" style="98" customWidth="1"/>
    <col min="14599" max="14848" width="9.109375" style="98"/>
    <col min="14849" max="14849" width="46.88671875" style="98" customWidth="1"/>
    <col min="14850" max="14850" width="13.6640625" style="98" bestFit="1" customWidth="1"/>
    <col min="14851" max="14851" width="40.5546875" style="98" bestFit="1" customWidth="1"/>
    <col min="14852" max="14854" width="10.6640625" style="98" customWidth="1"/>
    <col min="14855" max="15104" width="9.109375" style="98"/>
    <col min="15105" max="15105" width="46.88671875" style="98" customWidth="1"/>
    <col min="15106" max="15106" width="13.6640625" style="98" bestFit="1" customWidth="1"/>
    <col min="15107" max="15107" width="40.5546875" style="98" bestFit="1" customWidth="1"/>
    <col min="15108" max="15110" width="10.6640625" style="98" customWidth="1"/>
    <col min="15111" max="15360" width="9.109375" style="98"/>
    <col min="15361" max="15361" width="46.88671875" style="98" customWidth="1"/>
    <col min="15362" max="15362" width="13.6640625" style="98" bestFit="1" customWidth="1"/>
    <col min="15363" max="15363" width="40.5546875" style="98" bestFit="1" customWidth="1"/>
    <col min="15364" max="15366" width="10.6640625" style="98" customWidth="1"/>
    <col min="15367" max="15616" width="9.109375" style="98"/>
    <col min="15617" max="15617" width="46.88671875" style="98" customWidth="1"/>
    <col min="15618" max="15618" width="13.6640625" style="98" bestFit="1" customWidth="1"/>
    <col min="15619" max="15619" width="40.5546875" style="98" bestFit="1" customWidth="1"/>
    <col min="15620" max="15622" width="10.6640625" style="98" customWidth="1"/>
    <col min="15623" max="15872" width="9.109375" style="98"/>
    <col min="15873" max="15873" width="46.88671875" style="98" customWidth="1"/>
    <col min="15874" max="15874" width="13.6640625" style="98" bestFit="1" customWidth="1"/>
    <col min="15875" max="15875" width="40.5546875" style="98" bestFit="1" customWidth="1"/>
    <col min="15876" max="15878" width="10.6640625" style="98" customWidth="1"/>
    <col min="15879" max="16128" width="9.109375" style="98"/>
    <col min="16129" max="16129" width="46.88671875" style="98" customWidth="1"/>
    <col min="16130" max="16130" width="13.6640625" style="98" bestFit="1" customWidth="1"/>
    <col min="16131" max="16131" width="40.5546875" style="98" bestFit="1" customWidth="1"/>
    <col min="16132" max="16134" width="10.6640625" style="98" customWidth="1"/>
    <col min="16135" max="16384" width="9.109375" style="98"/>
  </cols>
  <sheetData>
    <row r="1" spans="1:6">
      <c r="A1" s="107"/>
      <c r="F1" s="109"/>
    </row>
    <row r="3" spans="1:6">
      <c r="A3" s="492" t="str">
        <f>UPPER(D9)</f>
        <v>ENTERGY MISSISSIPPI, INC.</v>
      </c>
      <c r="B3" s="493"/>
      <c r="C3" s="493"/>
      <c r="D3" s="493"/>
      <c r="E3" s="493"/>
      <c r="F3" s="493"/>
    </row>
    <row r="4" spans="1:6">
      <c r="A4" s="493" t="s">
        <v>288</v>
      </c>
      <c r="B4" s="493"/>
      <c r="C4" s="493"/>
      <c r="D4" s="493"/>
      <c r="E4" s="493"/>
      <c r="F4" s="493"/>
    </row>
    <row r="5" spans="1:6">
      <c r="A5" s="493" t="s">
        <v>289</v>
      </c>
      <c r="B5" s="493"/>
      <c r="C5" s="493"/>
      <c r="D5" s="493"/>
      <c r="E5" s="493"/>
      <c r="F5" s="493"/>
    </row>
    <row r="6" spans="1:6">
      <c r="A6" s="493" t="s">
        <v>658</v>
      </c>
      <c r="B6" s="493"/>
      <c r="C6" s="493"/>
      <c r="D6" s="493"/>
      <c r="E6" s="493"/>
      <c r="F6" s="493"/>
    </row>
    <row r="7" spans="1:6">
      <c r="A7" s="493" t="s">
        <v>290</v>
      </c>
      <c r="B7" s="493"/>
      <c r="C7" s="493"/>
      <c r="D7" s="493"/>
      <c r="E7" s="493"/>
      <c r="F7" s="493"/>
    </row>
    <row r="9" spans="1:6">
      <c r="A9" s="97"/>
      <c r="B9" s="97"/>
      <c r="C9" s="97"/>
      <c r="D9" s="489" t="s">
        <v>0</v>
      </c>
      <c r="E9" s="490"/>
      <c r="F9" s="491"/>
    </row>
    <row r="10" spans="1:6" s="103" customFormat="1">
      <c r="A10" s="99" t="s">
        <v>198</v>
      </c>
      <c r="B10" s="99" t="s">
        <v>199</v>
      </c>
      <c r="C10" s="99" t="s">
        <v>142</v>
      </c>
      <c r="D10" s="102" t="s">
        <v>200</v>
      </c>
      <c r="E10" s="100" t="s">
        <v>182</v>
      </c>
      <c r="F10" s="101" t="s">
        <v>45</v>
      </c>
    </row>
    <row r="11" spans="1:6" s="103" customFormat="1">
      <c r="A11" s="174"/>
      <c r="B11" s="174"/>
      <c r="C11" s="174"/>
      <c r="D11" s="175"/>
      <c r="E11" s="174"/>
      <c r="F11" s="176"/>
    </row>
    <row r="12" spans="1:6" s="108" customFormat="1">
      <c r="A12" s="104" t="s">
        <v>275</v>
      </c>
      <c r="B12" s="98"/>
      <c r="C12" s="98"/>
      <c r="D12" s="110"/>
      <c r="E12" s="111"/>
      <c r="F12" s="112"/>
    </row>
    <row r="13" spans="1:6" s="108" customFormat="1">
      <c r="A13" s="164" t="s">
        <v>597</v>
      </c>
      <c r="B13" s="165"/>
      <c r="C13" s="165"/>
      <c r="D13" s="286">
        <f>SUM(D64:D73)/2</f>
        <v>-703.75</v>
      </c>
      <c r="E13" s="286">
        <f>SUM(E64:E73)/2</f>
        <v>0</v>
      </c>
      <c r="F13" s="286">
        <f>SUM(F64:F73)/2</f>
        <v>-703.75</v>
      </c>
    </row>
    <row r="14" spans="1:6" s="108" customFormat="1">
      <c r="A14" s="166" t="s">
        <v>201</v>
      </c>
      <c r="B14" s="167"/>
      <c r="C14" s="167"/>
      <c r="D14" s="282">
        <f>SUM(D97:D109)/2</f>
        <v>2480.0499999999997</v>
      </c>
      <c r="E14" s="282">
        <f>SUM(E97:E109)/2</f>
        <v>0</v>
      </c>
      <c r="F14" s="282">
        <f>SUM(F97:F109)/2</f>
        <v>2480.0499999999997</v>
      </c>
    </row>
    <row r="15" spans="1:6" s="108" customFormat="1">
      <c r="A15" s="164"/>
      <c r="B15" s="165"/>
      <c r="C15" s="165"/>
      <c r="D15" s="284"/>
      <c r="E15" s="284"/>
      <c r="F15" s="284"/>
    </row>
    <row r="16" spans="1:6" s="108" customFormat="1">
      <c r="A16" s="166"/>
      <c r="B16" s="167"/>
      <c r="C16" s="167"/>
      <c r="D16" s="287"/>
      <c r="E16" s="287"/>
      <c r="F16" s="287"/>
    </row>
    <row r="17" spans="1:6" s="108" customFormat="1">
      <c r="A17" s="170" t="s">
        <v>202</v>
      </c>
      <c r="B17" s="165"/>
      <c r="C17" s="165"/>
      <c r="D17" s="288"/>
      <c r="E17" s="288"/>
      <c r="F17" s="288"/>
    </row>
    <row r="18" spans="1:6" s="108" customFormat="1">
      <c r="A18" s="171" t="s">
        <v>203</v>
      </c>
      <c r="B18" s="167"/>
      <c r="C18" s="167"/>
      <c r="D18" s="282">
        <f>SUM(D74:D83)/2</f>
        <v>203837.09</v>
      </c>
      <c r="E18" s="282">
        <f>SUM(E74:E83)/2</f>
        <v>0</v>
      </c>
      <c r="F18" s="283">
        <f>SUM(F74:F83)/2</f>
        <v>203837.09</v>
      </c>
    </row>
    <row r="19" spans="1:6" s="108" customFormat="1">
      <c r="A19" s="172"/>
      <c r="B19" s="165"/>
      <c r="C19" s="165"/>
      <c r="D19" s="284"/>
      <c r="E19" s="284"/>
      <c r="F19" s="284"/>
    </row>
    <row r="20" spans="1:6" s="108" customFormat="1">
      <c r="A20" s="171" t="s">
        <v>204</v>
      </c>
      <c r="B20" s="167"/>
      <c r="C20" s="167"/>
      <c r="D20" s="282">
        <f>SUM(D84:D96)/2</f>
        <v>89066.45</v>
      </c>
      <c r="E20" s="282">
        <f>SUM(E84:E96)/2</f>
        <v>0</v>
      </c>
      <c r="F20" s="283">
        <f>SUM(F84:F96)/2</f>
        <v>89066.45</v>
      </c>
    </row>
    <row r="21" spans="1:6" s="108" customFormat="1">
      <c r="A21" s="172"/>
      <c r="B21" s="165"/>
      <c r="C21" s="165"/>
      <c r="D21" s="284"/>
      <c r="E21" s="284"/>
      <c r="F21" s="284"/>
    </row>
    <row r="22" spans="1:6" s="108" customFormat="1">
      <c r="A22" s="171" t="s">
        <v>205</v>
      </c>
      <c r="B22" s="167"/>
      <c r="C22" s="167"/>
      <c r="D22" s="282"/>
      <c r="E22" s="282"/>
      <c r="F22" s="282"/>
    </row>
    <row r="23" spans="1:6" s="108" customFormat="1">
      <c r="A23" s="172" t="s">
        <v>206</v>
      </c>
      <c r="B23" s="165"/>
      <c r="C23" s="165"/>
      <c r="D23" s="284"/>
      <c r="E23" s="284"/>
      <c r="F23" s="284"/>
    </row>
    <row r="24" spans="1:6" s="108" customFormat="1">
      <c r="A24" s="171" t="s">
        <v>276</v>
      </c>
      <c r="B24" s="167"/>
      <c r="C24" s="167"/>
      <c r="D24" s="282">
        <f>SUM(D110:D116)/2</f>
        <v>2035.98</v>
      </c>
      <c r="E24" s="282">
        <f>SUM(E110:E116)/2</f>
        <v>1268.49</v>
      </c>
      <c r="F24" s="282">
        <f>SUM(F110:F116)/2</f>
        <v>3304.4700000000003</v>
      </c>
    </row>
    <row r="25" spans="1:6" s="108" customFormat="1">
      <c r="A25" s="172" t="s">
        <v>277</v>
      </c>
      <c r="B25" s="165"/>
      <c r="C25" s="165"/>
      <c r="D25" s="284">
        <f>SUM(D117:D122)/2</f>
        <v>24500</v>
      </c>
      <c r="E25" s="284">
        <f>SUM(E117:E122)/2</f>
        <v>0</v>
      </c>
      <c r="F25" s="284">
        <f>SUM(F117:F122)/2</f>
        <v>24500</v>
      </c>
    </row>
    <row r="26" spans="1:6" s="108" customFormat="1">
      <c r="A26" s="171" t="s">
        <v>278</v>
      </c>
      <c r="B26" s="167"/>
      <c r="C26" s="167"/>
      <c r="D26" s="282">
        <v>0</v>
      </c>
      <c r="E26" s="282">
        <v>0</v>
      </c>
      <c r="F26" s="282">
        <v>0</v>
      </c>
    </row>
    <row r="27" spans="1:6" s="108" customFormat="1">
      <c r="A27" s="172" t="s">
        <v>279</v>
      </c>
      <c r="B27" s="165"/>
      <c r="C27" s="165"/>
      <c r="D27" s="284">
        <f>SUM(D123:D127)/2</f>
        <v>3891.13</v>
      </c>
      <c r="E27" s="284">
        <f>SUM(E123:E127)/2</f>
        <v>10157.259999999998</v>
      </c>
      <c r="F27" s="284">
        <f>SUM(F123:F127)/2</f>
        <v>14048.390000000003</v>
      </c>
    </row>
    <row r="28" spans="1:6" s="108" customFormat="1">
      <c r="A28" s="171" t="s">
        <v>280</v>
      </c>
      <c r="B28" s="167"/>
      <c r="C28" s="167"/>
      <c r="D28" s="282">
        <f>SUM(D128:D131)/2</f>
        <v>0</v>
      </c>
      <c r="E28" s="282">
        <f>SUM(E128:E131)/2</f>
        <v>0</v>
      </c>
      <c r="F28" s="282">
        <f>SUM(F128:F131)/2</f>
        <v>0</v>
      </c>
    </row>
    <row r="29" spans="1:6" s="108" customFormat="1">
      <c r="A29" s="172" t="s">
        <v>598</v>
      </c>
      <c r="B29" s="165"/>
      <c r="C29" s="165"/>
      <c r="D29" s="284">
        <f>SUM(D132:D134)/2</f>
        <v>0</v>
      </c>
      <c r="E29" s="284">
        <f>SUM(E132:E134)/2</f>
        <v>0</v>
      </c>
      <c r="F29" s="284">
        <f>SUM(F132:F134)/2</f>
        <v>0</v>
      </c>
    </row>
    <row r="30" spans="1:6" s="108" customFormat="1">
      <c r="A30" s="171" t="s">
        <v>281</v>
      </c>
      <c r="B30" s="167"/>
      <c r="C30" s="167"/>
      <c r="D30" s="282">
        <f>SUM(D135:D138)/2</f>
        <v>0</v>
      </c>
      <c r="E30" s="282">
        <f>SUM(E135:E138)/2</f>
        <v>0</v>
      </c>
      <c r="F30" s="282">
        <f>SUM(F135:F138)/2</f>
        <v>0</v>
      </c>
    </row>
    <row r="31" spans="1:6" s="108" customFormat="1">
      <c r="A31" s="172" t="s">
        <v>282</v>
      </c>
      <c r="B31" s="165"/>
      <c r="C31" s="165"/>
      <c r="D31" s="284">
        <f>SUM(D139:D140)/2</f>
        <v>0</v>
      </c>
      <c r="E31" s="284">
        <f>SUM(E139:E140)/2</f>
        <v>0</v>
      </c>
      <c r="F31" s="284">
        <f>SUM(F139:F140)/2</f>
        <v>0</v>
      </c>
    </row>
    <row r="32" spans="1:6" s="108" customFormat="1">
      <c r="A32" s="171" t="s">
        <v>283</v>
      </c>
      <c r="B32" s="167"/>
      <c r="C32" s="167"/>
      <c r="D32" s="282">
        <f>SUM(D24:D31)</f>
        <v>30427.11</v>
      </c>
      <c r="E32" s="283">
        <f>SUM(E24:E31)</f>
        <v>11425.749999999998</v>
      </c>
      <c r="F32" s="282">
        <f>SUM(F24:F31)</f>
        <v>41852.86</v>
      </c>
    </row>
    <row r="33" spans="1:6" s="108" customFormat="1">
      <c r="A33" s="172" t="s">
        <v>211</v>
      </c>
      <c r="B33" s="165"/>
      <c r="C33" s="165"/>
      <c r="D33" s="284"/>
      <c r="E33" s="284"/>
      <c r="F33" s="284"/>
    </row>
    <row r="34" spans="1:6" s="108" customFormat="1">
      <c r="A34" s="171" t="s">
        <v>284</v>
      </c>
      <c r="B34" s="167"/>
      <c r="C34" s="167"/>
      <c r="D34" s="282">
        <f>SUM(D141:D150)/2</f>
        <v>212714.31</v>
      </c>
      <c r="E34" s="282">
        <f>SUM(E141:E150)/2</f>
        <v>261155.54</v>
      </c>
      <c r="F34" s="282">
        <f>SUM(F141:F150)/2</f>
        <v>473869.85</v>
      </c>
    </row>
    <row r="35" spans="1:6" s="108" customFormat="1">
      <c r="A35" s="172" t="s">
        <v>207</v>
      </c>
      <c r="B35" s="165"/>
      <c r="C35" s="165"/>
      <c r="D35" s="284">
        <v>0</v>
      </c>
      <c r="E35" s="284">
        <v>0</v>
      </c>
      <c r="F35" s="284">
        <v>0</v>
      </c>
    </row>
    <row r="36" spans="1:6" s="108" customFormat="1">
      <c r="A36" s="171" t="s">
        <v>208</v>
      </c>
      <c r="B36" s="167"/>
      <c r="C36" s="167"/>
      <c r="D36" s="282">
        <f>SUM(D151:D156)/2</f>
        <v>509209.37</v>
      </c>
      <c r="E36" s="282">
        <f>SUM(E151:E156)/2</f>
        <v>9192.0300000000007</v>
      </c>
      <c r="F36" s="282">
        <f>SUM(F151:F156)/2</f>
        <v>518401.39999999997</v>
      </c>
    </row>
    <row r="37" spans="1:6" s="108" customFormat="1">
      <c r="A37" s="172" t="s">
        <v>209</v>
      </c>
      <c r="B37" s="165"/>
      <c r="C37" s="165"/>
      <c r="D37" s="284">
        <f>SUM(D157:D160)/2</f>
        <v>20034.5</v>
      </c>
      <c r="E37" s="284">
        <f>SUM(E157:E160)/2</f>
        <v>3795.6</v>
      </c>
      <c r="F37" s="284">
        <f>SUM(F157:F160)/2</f>
        <v>23830.1</v>
      </c>
    </row>
    <row r="38" spans="1:6" s="108" customFormat="1">
      <c r="A38" s="171" t="s">
        <v>285</v>
      </c>
      <c r="B38" s="167"/>
      <c r="C38" s="167"/>
      <c r="D38" s="168">
        <f>SUM(D161:D163)/2</f>
        <v>0</v>
      </c>
      <c r="E38" s="168">
        <f>SUM(E161:E163)/2</f>
        <v>0</v>
      </c>
      <c r="F38" s="168">
        <f>SUM(F161:F163)/2</f>
        <v>0</v>
      </c>
    </row>
    <row r="39" spans="1:6" s="108" customFormat="1">
      <c r="A39" s="172" t="s">
        <v>210</v>
      </c>
      <c r="B39" s="165"/>
      <c r="C39" s="165"/>
      <c r="D39" s="169">
        <v>0</v>
      </c>
      <c r="E39" s="169">
        <v>0</v>
      </c>
      <c r="F39" s="169">
        <v>0</v>
      </c>
    </row>
    <row r="40" spans="1:6" s="108" customFormat="1">
      <c r="A40" s="171" t="s">
        <v>286</v>
      </c>
      <c r="B40" s="167"/>
      <c r="C40" s="167"/>
      <c r="D40" s="282">
        <f>SUM(D34:D39)</f>
        <v>741958.17999999993</v>
      </c>
      <c r="E40" s="283">
        <f>SUM(E34:E39)</f>
        <v>274143.17</v>
      </c>
      <c r="F40" s="283">
        <f>SUM(F34:F39)</f>
        <v>1016101.35</v>
      </c>
    </row>
    <row r="41" spans="1:6" s="108" customFormat="1">
      <c r="A41" s="172" t="s">
        <v>212</v>
      </c>
      <c r="B41" s="165"/>
      <c r="C41" s="165"/>
      <c r="D41" s="284">
        <v>0</v>
      </c>
      <c r="E41" s="284">
        <v>0</v>
      </c>
      <c r="F41" s="284">
        <v>0</v>
      </c>
    </row>
    <row r="42" spans="1:6" s="108" customFormat="1">
      <c r="A42" s="171" t="s">
        <v>213</v>
      </c>
      <c r="B42" s="167"/>
      <c r="C42" s="167"/>
      <c r="D42" s="282">
        <f>SUM(D164:D181)/2</f>
        <v>46341.38</v>
      </c>
      <c r="E42" s="283">
        <f>SUM(E164:E181)/2</f>
        <v>72796.55</v>
      </c>
      <c r="F42" s="282">
        <f>SUM(F164:F181)/2</f>
        <v>119137.93</v>
      </c>
    </row>
    <row r="43" spans="1:6" s="108" customFormat="1">
      <c r="A43" s="172" t="s">
        <v>671</v>
      </c>
      <c r="B43" s="165"/>
      <c r="C43" s="165"/>
      <c r="D43" s="284">
        <f>SUM(D182:D185)/2</f>
        <v>7.59</v>
      </c>
      <c r="E43" s="285">
        <f>SUM(E182:E185)/2</f>
        <v>44.41</v>
      </c>
      <c r="F43" s="284">
        <f>SUM(F182:F185)/2</f>
        <v>52</v>
      </c>
    </row>
    <row r="44" spans="1:6" s="108" customFormat="1">
      <c r="A44" s="171" t="s">
        <v>214</v>
      </c>
      <c r="B44" s="167"/>
      <c r="C44" s="167"/>
      <c r="D44" s="282">
        <f>D32+D40+D41+D42+D43</f>
        <v>818734.25999999989</v>
      </c>
      <c r="E44" s="282">
        <f>E32+E40+E41+E42+E43</f>
        <v>358409.87999999995</v>
      </c>
      <c r="F44" s="282">
        <f>F32+F40+F41+F42+F43</f>
        <v>1177144.1399999999</v>
      </c>
    </row>
    <row r="45" spans="1:6" s="108" customFormat="1">
      <c r="A45" s="172" t="s">
        <v>215</v>
      </c>
      <c r="B45" s="165"/>
      <c r="C45" s="165"/>
      <c r="D45" s="169"/>
      <c r="E45" s="169"/>
      <c r="F45" s="169"/>
    </row>
    <row r="46" spans="1:6" s="108" customFormat="1">
      <c r="A46" s="171" t="s">
        <v>216</v>
      </c>
      <c r="B46" s="167"/>
      <c r="C46" s="167"/>
      <c r="D46" s="282">
        <f>SUM(D186:D196)/2</f>
        <v>198917.90000000002</v>
      </c>
      <c r="E46" s="282">
        <f>SUM(E186:E196)/2</f>
        <v>1059645.3700000001</v>
      </c>
      <c r="F46" s="282">
        <f>SUM(F186:F196)/2</f>
        <v>1258563.27</v>
      </c>
    </row>
    <row r="47" spans="1:6" s="108" customFormat="1">
      <c r="A47" s="172" t="s">
        <v>217</v>
      </c>
      <c r="B47" s="165"/>
      <c r="C47" s="165"/>
      <c r="D47" s="284">
        <f>SUM(D197:D211)/2</f>
        <v>106391.06999999999</v>
      </c>
      <c r="E47" s="284">
        <f>SUM(E197:E211)/2</f>
        <v>0</v>
      </c>
      <c r="F47" s="284">
        <f>SUM(F197:F211)/2</f>
        <v>106391.06999999999</v>
      </c>
    </row>
    <row r="48" spans="1:6" s="108" customFormat="1">
      <c r="A48" s="171" t="s">
        <v>218</v>
      </c>
      <c r="B48" s="167"/>
      <c r="C48" s="167"/>
      <c r="D48" s="282">
        <f>SUM(D212:D227)/2</f>
        <v>5038155.49</v>
      </c>
      <c r="E48" s="282">
        <f>SUM(E212:E227)/2</f>
        <v>0</v>
      </c>
      <c r="F48" s="282">
        <f>SUM(F212:F227)/2</f>
        <v>5038155.49</v>
      </c>
    </row>
    <row r="49" spans="1:6" s="108" customFormat="1">
      <c r="A49" s="172" t="s">
        <v>219</v>
      </c>
      <c r="B49" s="165"/>
      <c r="C49" s="165"/>
      <c r="D49" s="284">
        <f>SUM(D228:D229)/2</f>
        <v>193.29000000000002</v>
      </c>
      <c r="E49" s="284">
        <f>SUM(E228:E229)/2</f>
        <v>958.68</v>
      </c>
      <c r="F49" s="284">
        <f>SUM(F228:F229)/2</f>
        <v>1151.97</v>
      </c>
    </row>
    <row r="50" spans="1:6" s="108" customFormat="1">
      <c r="A50" s="171" t="s">
        <v>220</v>
      </c>
      <c r="B50" s="167"/>
      <c r="C50" s="167"/>
      <c r="D50" s="282">
        <f>SUM(D230:D241)/2</f>
        <v>751848.46</v>
      </c>
      <c r="E50" s="282">
        <f>SUM(E230:E241)/2</f>
        <v>0</v>
      </c>
      <c r="F50" s="282">
        <f>SUM(F230:F241)/2</f>
        <v>751848.46</v>
      </c>
    </row>
    <row r="51" spans="1:6" s="108" customFormat="1">
      <c r="A51" s="172" t="s">
        <v>221</v>
      </c>
      <c r="B51" s="165"/>
      <c r="C51" s="165"/>
      <c r="D51" s="284">
        <f>SUM(D242:D248)/2</f>
        <v>396.94000000000005</v>
      </c>
      <c r="E51" s="284">
        <f>SUM(E242:E248)/2</f>
        <v>2327.9700000000003</v>
      </c>
      <c r="F51" s="285">
        <f>SUM(F242:F248)/2</f>
        <v>2724.91</v>
      </c>
    </row>
    <row r="52" spans="1:6" s="108" customFormat="1">
      <c r="A52" s="171" t="s">
        <v>222</v>
      </c>
      <c r="B52" s="167"/>
      <c r="C52" s="167"/>
      <c r="D52" s="282">
        <f>SUM(D249:D250)/2</f>
        <v>3726.34</v>
      </c>
      <c r="E52" s="282">
        <f>SUM(E249:E250)/2</f>
        <v>0</v>
      </c>
      <c r="F52" s="283">
        <f>SUM(F249:F250)/2</f>
        <v>3726.34</v>
      </c>
    </row>
    <row r="53" spans="1:6" s="108" customFormat="1">
      <c r="A53" s="172" t="s">
        <v>599</v>
      </c>
      <c r="B53" s="165"/>
      <c r="C53" s="165"/>
      <c r="D53" s="284">
        <f>SUM(D251:D255)/2</f>
        <v>3194.3199999999997</v>
      </c>
      <c r="E53" s="284">
        <f>SUM(E251:E255)/2</f>
        <v>0</v>
      </c>
      <c r="F53" s="284">
        <f>SUM(F251:F255)/2</f>
        <v>3194.3199999999997</v>
      </c>
    </row>
    <row r="54" spans="1:6" s="108" customFormat="1">
      <c r="A54" s="171" t="s">
        <v>223</v>
      </c>
      <c r="B54" s="167"/>
      <c r="C54" s="167"/>
      <c r="D54" s="282">
        <f>SUM(D256:D258)/2</f>
        <v>1868.2900000000002</v>
      </c>
      <c r="E54" s="282">
        <f>SUM(E256:E258)/2</f>
        <v>9376.33</v>
      </c>
      <c r="F54" s="282">
        <f>SUM(F256:F258)/2</f>
        <v>11244.619999999999</v>
      </c>
    </row>
    <row r="55" spans="1:6" s="108" customFormat="1">
      <c r="A55" s="172" t="s">
        <v>600</v>
      </c>
      <c r="B55" s="165"/>
      <c r="C55" s="165"/>
      <c r="D55" s="284">
        <f>SUM(D259:D260)/2</f>
        <v>178.9</v>
      </c>
      <c r="E55" s="284">
        <f>SUM(E259:E260)/2</f>
        <v>0</v>
      </c>
      <c r="F55" s="284">
        <f>SUM(F259:F260)/2</f>
        <v>178.9</v>
      </c>
    </row>
    <row r="56" spans="1:6" s="108" customFormat="1">
      <c r="A56" s="171" t="s">
        <v>224</v>
      </c>
      <c r="B56" s="167"/>
      <c r="C56" s="167"/>
      <c r="D56" s="282">
        <f>SUM(D261:D268)/2</f>
        <v>2605.59</v>
      </c>
      <c r="E56" s="282">
        <f>SUM(E261:E268)/2</f>
        <v>921.15</v>
      </c>
      <c r="F56" s="282">
        <f>SUM(F261:F268)/2</f>
        <v>3526.74</v>
      </c>
    </row>
    <row r="57" spans="1:6" s="108" customFormat="1">
      <c r="A57" s="172" t="s">
        <v>225</v>
      </c>
      <c r="B57" s="165"/>
      <c r="C57" s="165"/>
      <c r="D57" s="284">
        <f>SUM(D46:D56)</f>
        <v>6107476.5900000008</v>
      </c>
      <c r="E57" s="284">
        <f>SUM(E46:E56)</f>
        <v>1073229.5</v>
      </c>
      <c r="F57" s="285">
        <f>SUM(F46:F56)</f>
        <v>7180706.0900000008</v>
      </c>
    </row>
    <row r="58" spans="1:6" s="108" customFormat="1">
      <c r="A58" s="173" t="s">
        <v>226</v>
      </c>
      <c r="B58" s="167"/>
      <c r="C58" s="167"/>
      <c r="D58" s="282">
        <f>D44+D57</f>
        <v>6926210.8500000006</v>
      </c>
      <c r="E58" s="282">
        <f>E44+E57</f>
        <v>1431639.38</v>
      </c>
      <c r="F58" s="282">
        <f>F44+F57</f>
        <v>8357850.2300000004</v>
      </c>
    </row>
    <row r="59" spans="1:6" s="108" customFormat="1">
      <c r="A59" s="172"/>
      <c r="B59" s="165"/>
      <c r="C59" s="165"/>
      <c r="D59" s="284"/>
      <c r="E59" s="284"/>
      <c r="F59" s="284"/>
    </row>
    <row r="60" spans="1:6" s="108" customFormat="1">
      <c r="A60" s="173" t="s">
        <v>273</v>
      </c>
      <c r="B60" s="167"/>
      <c r="C60" s="167"/>
      <c r="D60" s="282">
        <f>D13+D14+D18+D20+D58</f>
        <v>7220890.6900000004</v>
      </c>
      <c r="E60" s="282">
        <f>E13+E14+E18+E20+E58</f>
        <v>1431639.38</v>
      </c>
      <c r="F60" s="282">
        <f>F13+F14+F18+F20+F58</f>
        <v>8652530.0700000003</v>
      </c>
    </row>
    <row r="61" spans="1:6" ht="13.8" thickBot="1">
      <c r="A61" s="105"/>
      <c r="B61" s="105"/>
      <c r="C61" s="105"/>
      <c r="D61" s="106"/>
      <c r="E61" s="106"/>
      <c r="F61" s="106"/>
    </row>
    <row r="63" spans="1:6">
      <c r="A63" s="162" t="s">
        <v>227</v>
      </c>
      <c r="B63" s="163"/>
    </row>
    <row r="64" spans="1:6">
      <c r="A64" s="178" t="s">
        <v>228</v>
      </c>
      <c r="B64" s="179"/>
      <c r="D64" s="281">
        <f>SUM(D65:D66)</f>
        <v>0</v>
      </c>
      <c r="E64" s="281">
        <f>SUM(E65:E66)</f>
        <v>0</v>
      </c>
      <c r="F64" s="281">
        <f>SUM(F65:F66)</f>
        <v>0</v>
      </c>
    </row>
    <row r="65" spans="1:6">
      <c r="A65" s="178"/>
      <c r="B65" s="179" t="s">
        <v>585</v>
      </c>
      <c r="C65" s="107"/>
      <c r="D65" s="177">
        <v>0</v>
      </c>
      <c r="E65" s="177">
        <v>0</v>
      </c>
      <c r="F65" s="177">
        <f t="shared" ref="F65:F127" si="0">SUM(D65:E65)</f>
        <v>0</v>
      </c>
    </row>
    <row r="66" spans="1:6">
      <c r="A66" s="178"/>
      <c r="B66" s="179" t="s">
        <v>586</v>
      </c>
      <c r="D66" s="177">
        <v>0</v>
      </c>
      <c r="E66" s="177">
        <v>0</v>
      </c>
      <c r="F66" s="177">
        <f t="shared" si="0"/>
        <v>0</v>
      </c>
    </row>
    <row r="67" spans="1:6">
      <c r="A67" s="178" t="s">
        <v>230</v>
      </c>
      <c r="B67" s="179"/>
      <c r="C67" s="107"/>
      <c r="D67" s="281">
        <f>SUM(D68)</f>
        <v>43.46</v>
      </c>
      <c r="E67" s="281">
        <f>SUM(E68)</f>
        <v>0</v>
      </c>
      <c r="F67" s="281">
        <f>SUM(F68)</f>
        <v>43.46</v>
      </c>
    </row>
    <row r="68" spans="1:6">
      <c r="A68" s="178"/>
      <c r="B68" s="179" t="s">
        <v>229</v>
      </c>
      <c r="D68" s="177">
        <v>43.46</v>
      </c>
      <c r="E68" s="177">
        <v>0</v>
      </c>
      <c r="F68" s="177">
        <f t="shared" si="0"/>
        <v>43.46</v>
      </c>
    </row>
    <row r="69" spans="1:6">
      <c r="A69" s="178" t="s">
        <v>231</v>
      </c>
      <c r="B69" s="179"/>
      <c r="C69" s="107"/>
      <c r="D69" s="281">
        <f>SUM(D70:D71)</f>
        <v>-747.20999999999992</v>
      </c>
      <c r="E69" s="281">
        <f>SUM(E70:E71)</f>
        <v>0</v>
      </c>
      <c r="F69" s="281">
        <f>SUM(F70:F71)</f>
        <v>-747.20999999999992</v>
      </c>
    </row>
    <row r="70" spans="1:6">
      <c r="A70" s="178"/>
      <c r="B70" s="179" t="s">
        <v>232</v>
      </c>
      <c r="D70" s="177">
        <v>-627.80999999999995</v>
      </c>
      <c r="E70" s="177">
        <v>0</v>
      </c>
      <c r="F70" s="177">
        <f t="shared" si="0"/>
        <v>-627.80999999999995</v>
      </c>
    </row>
    <row r="71" spans="1:6">
      <c r="A71" s="178"/>
      <c r="B71" s="179" t="s">
        <v>229</v>
      </c>
      <c r="C71" s="107"/>
      <c r="D71" s="177">
        <v>-119.4</v>
      </c>
      <c r="E71" s="177">
        <v>0</v>
      </c>
      <c r="F71" s="177">
        <f t="shared" si="0"/>
        <v>-119.4</v>
      </c>
    </row>
    <row r="72" spans="1:6">
      <c r="A72" s="178" t="s">
        <v>587</v>
      </c>
      <c r="B72" s="179"/>
      <c r="D72" s="281">
        <f>SUM(D73)</f>
        <v>0</v>
      </c>
      <c r="E72" s="281">
        <f>SUM(E73)</f>
        <v>0</v>
      </c>
      <c r="F72" s="281">
        <f>SUM(F73)</f>
        <v>0</v>
      </c>
    </row>
    <row r="73" spans="1:6">
      <c r="A73" s="178"/>
      <c r="B73" s="179" t="s">
        <v>586</v>
      </c>
      <c r="C73" s="107"/>
      <c r="D73" s="177">
        <v>0</v>
      </c>
      <c r="E73" s="177">
        <v>0</v>
      </c>
      <c r="F73" s="177">
        <f t="shared" si="0"/>
        <v>0</v>
      </c>
    </row>
    <row r="74" spans="1:6">
      <c r="A74" s="178" t="s">
        <v>233</v>
      </c>
      <c r="B74" s="179"/>
      <c r="D74" s="281">
        <f>SUM(D75:D83)</f>
        <v>203837.09</v>
      </c>
      <c r="E74" s="281">
        <f>SUM(E75:E83)</f>
        <v>0</v>
      </c>
      <c r="F74" s="281">
        <f>SUM(F75:F83)</f>
        <v>203837.09</v>
      </c>
    </row>
    <row r="75" spans="1:6">
      <c r="A75" s="178"/>
      <c r="B75" s="179" t="s">
        <v>238</v>
      </c>
      <c r="C75" s="107"/>
      <c r="D75" s="177">
        <v>0</v>
      </c>
      <c r="E75" s="177">
        <v>0</v>
      </c>
      <c r="F75" s="177">
        <f t="shared" si="0"/>
        <v>0</v>
      </c>
    </row>
    <row r="76" spans="1:6">
      <c r="A76" s="178"/>
      <c r="B76" s="179" t="s">
        <v>237</v>
      </c>
      <c r="D76" s="177">
        <v>0</v>
      </c>
      <c r="E76" s="177">
        <v>0</v>
      </c>
      <c r="F76" s="177">
        <f t="shared" si="0"/>
        <v>0</v>
      </c>
    </row>
    <row r="77" spans="1:6">
      <c r="A77" s="178"/>
      <c r="B77" s="179" t="s">
        <v>235</v>
      </c>
      <c r="C77" s="107"/>
      <c r="D77" s="177">
        <v>0</v>
      </c>
      <c r="E77" s="177">
        <v>0</v>
      </c>
      <c r="F77" s="177">
        <f t="shared" si="0"/>
        <v>0</v>
      </c>
    </row>
    <row r="78" spans="1:6">
      <c r="A78" s="178"/>
      <c r="B78" s="179" t="s">
        <v>234</v>
      </c>
      <c r="D78" s="177">
        <v>0</v>
      </c>
      <c r="E78" s="177">
        <v>0</v>
      </c>
      <c r="F78" s="177">
        <f t="shared" si="0"/>
        <v>0</v>
      </c>
    </row>
    <row r="79" spans="1:6">
      <c r="A79" s="178"/>
      <c r="B79" s="179" t="s">
        <v>236</v>
      </c>
      <c r="C79" s="107"/>
      <c r="D79" s="177">
        <v>40456.410000000003</v>
      </c>
      <c r="E79" s="177">
        <v>0</v>
      </c>
      <c r="F79" s="177">
        <f t="shared" si="0"/>
        <v>40456.410000000003</v>
      </c>
    </row>
    <row r="80" spans="1:6">
      <c r="A80" s="178"/>
      <c r="B80" s="179" t="s">
        <v>232</v>
      </c>
      <c r="D80" s="177">
        <v>31884.769999999997</v>
      </c>
      <c r="E80" s="177">
        <v>0</v>
      </c>
      <c r="F80" s="177">
        <f t="shared" si="0"/>
        <v>31884.769999999997</v>
      </c>
    </row>
    <row r="81" spans="1:6">
      <c r="A81" s="178"/>
      <c r="B81" s="179" t="s">
        <v>239</v>
      </c>
      <c r="C81" s="107"/>
      <c r="D81" s="177">
        <v>49789.55</v>
      </c>
      <c r="E81" s="177">
        <v>0</v>
      </c>
      <c r="F81" s="177">
        <f t="shared" si="0"/>
        <v>49789.55</v>
      </c>
    </row>
    <row r="82" spans="1:6">
      <c r="A82" s="178"/>
      <c r="B82" s="179" t="s">
        <v>229</v>
      </c>
      <c r="D82" s="177">
        <v>55186.18</v>
      </c>
      <c r="E82" s="177">
        <v>0</v>
      </c>
      <c r="F82" s="177">
        <f t="shared" si="0"/>
        <v>55186.18</v>
      </c>
    </row>
    <row r="83" spans="1:6">
      <c r="A83" s="178"/>
      <c r="B83" s="179" t="s">
        <v>240</v>
      </c>
      <c r="C83" s="107"/>
      <c r="D83" s="177">
        <v>26520.18</v>
      </c>
      <c r="E83" s="177">
        <v>0</v>
      </c>
      <c r="F83" s="177">
        <f t="shared" si="0"/>
        <v>26520.18</v>
      </c>
    </row>
    <row r="84" spans="1:6">
      <c r="A84" s="178" t="s">
        <v>51</v>
      </c>
      <c r="B84" s="179"/>
      <c r="D84" s="281">
        <f>SUM(D85:D96)</f>
        <v>89066.45</v>
      </c>
      <c r="E84" s="281">
        <f>SUM(E85:E96)</f>
        <v>0</v>
      </c>
      <c r="F84" s="281">
        <f t="shared" si="0"/>
        <v>89066.45</v>
      </c>
    </row>
    <row r="85" spans="1:6">
      <c r="A85" s="178"/>
      <c r="B85" s="179" t="s">
        <v>243</v>
      </c>
      <c r="C85" s="107"/>
      <c r="D85" s="177">
        <v>0</v>
      </c>
      <c r="E85" s="177">
        <v>0</v>
      </c>
      <c r="F85" s="177">
        <f t="shared" si="0"/>
        <v>0</v>
      </c>
    </row>
    <row r="86" spans="1:6">
      <c r="A86" s="178"/>
      <c r="B86" s="179" t="s">
        <v>238</v>
      </c>
      <c r="D86" s="177">
        <v>0</v>
      </c>
      <c r="E86" s="177">
        <v>0</v>
      </c>
      <c r="F86" s="177">
        <f t="shared" si="0"/>
        <v>0</v>
      </c>
    </row>
    <row r="87" spans="1:6">
      <c r="A87" s="178"/>
      <c r="B87" s="179" t="s">
        <v>237</v>
      </c>
      <c r="C87" s="107"/>
      <c r="D87" s="177">
        <v>0</v>
      </c>
      <c r="E87" s="177">
        <v>0</v>
      </c>
      <c r="F87" s="177">
        <f t="shared" si="0"/>
        <v>0</v>
      </c>
    </row>
    <row r="88" spans="1:6">
      <c r="A88" s="178"/>
      <c r="B88" s="179" t="s">
        <v>236</v>
      </c>
      <c r="D88" s="177">
        <v>15874.02</v>
      </c>
      <c r="E88" s="177">
        <v>0</v>
      </c>
      <c r="F88" s="177">
        <f t="shared" si="0"/>
        <v>15874.02</v>
      </c>
    </row>
    <row r="89" spans="1:6">
      <c r="A89" s="178"/>
      <c r="B89" s="179" t="s">
        <v>242</v>
      </c>
      <c r="C89" s="107"/>
      <c r="D89" s="177">
        <v>0</v>
      </c>
      <c r="E89" s="177">
        <v>0</v>
      </c>
      <c r="F89" s="177">
        <f t="shared" si="0"/>
        <v>0</v>
      </c>
    </row>
    <row r="90" spans="1:6">
      <c r="A90" s="178"/>
      <c r="B90" s="179" t="s">
        <v>234</v>
      </c>
      <c r="D90" s="177">
        <v>0</v>
      </c>
      <c r="E90" s="177">
        <v>0</v>
      </c>
      <c r="F90" s="177">
        <f t="shared" si="0"/>
        <v>0</v>
      </c>
    </row>
    <row r="91" spans="1:6">
      <c r="A91" s="178"/>
      <c r="B91" s="179" t="s">
        <v>241</v>
      </c>
      <c r="D91" s="177">
        <v>0</v>
      </c>
      <c r="E91" s="177">
        <v>0</v>
      </c>
      <c r="F91" s="177">
        <f t="shared" si="0"/>
        <v>0</v>
      </c>
    </row>
    <row r="92" spans="1:6">
      <c r="A92" s="178"/>
      <c r="B92" s="179" t="s">
        <v>235</v>
      </c>
      <c r="D92" s="177">
        <v>0</v>
      </c>
      <c r="E92" s="177">
        <v>0</v>
      </c>
      <c r="F92" s="177">
        <f t="shared" si="0"/>
        <v>0</v>
      </c>
    </row>
    <row r="93" spans="1:6">
      <c r="A93" s="178"/>
      <c r="B93" s="179" t="s">
        <v>232</v>
      </c>
      <c r="D93" s="177">
        <v>16372.75</v>
      </c>
      <c r="E93" s="177">
        <v>0</v>
      </c>
      <c r="F93" s="177">
        <f t="shared" si="0"/>
        <v>16372.75</v>
      </c>
    </row>
    <row r="94" spans="1:6">
      <c r="A94" s="178"/>
      <c r="B94" s="179" t="s">
        <v>239</v>
      </c>
      <c r="C94" s="107"/>
      <c r="D94" s="177">
        <v>21945.69</v>
      </c>
      <c r="E94" s="177">
        <v>0</v>
      </c>
      <c r="F94" s="177">
        <f t="shared" si="0"/>
        <v>21945.69</v>
      </c>
    </row>
    <row r="95" spans="1:6">
      <c r="A95" s="178"/>
      <c r="B95" s="179" t="s">
        <v>229</v>
      </c>
      <c r="D95" s="177">
        <v>24251.94</v>
      </c>
      <c r="E95" s="177">
        <v>0</v>
      </c>
      <c r="F95" s="177">
        <f t="shared" si="0"/>
        <v>24251.94</v>
      </c>
    </row>
    <row r="96" spans="1:6">
      <c r="A96" s="178"/>
      <c r="B96" s="179" t="s">
        <v>240</v>
      </c>
      <c r="D96" s="177">
        <v>10622.05</v>
      </c>
      <c r="E96" s="177">
        <v>0</v>
      </c>
      <c r="F96" s="177">
        <f t="shared" si="0"/>
        <v>10622.05</v>
      </c>
    </row>
    <row r="97" spans="1:6">
      <c r="A97" s="178" t="s">
        <v>244</v>
      </c>
      <c r="B97" s="179"/>
      <c r="D97" s="281">
        <f>SUM(D98)</f>
        <v>0</v>
      </c>
      <c r="E97" s="281">
        <f>SUM(E98)</f>
        <v>0</v>
      </c>
      <c r="F97" s="281">
        <f t="shared" si="0"/>
        <v>0</v>
      </c>
    </row>
    <row r="98" spans="1:6">
      <c r="A98" s="178"/>
      <c r="B98" s="179" t="s">
        <v>586</v>
      </c>
      <c r="D98" s="177">
        <v>0</v>
      </c>
      <c r="E98" s="177">
        <v>0</v>
      </c>
      <c r="F98" s="177">
        <f t="shared" si="0"/>
        <v>0</v>
      </c>
    </row>
    <row r="99" spans="1:6">
      <c r="A99" s="178" t="s">
        <v>245</v>
      </c>
      <c r="B99" s="179"/>
      <c r="D99" s="281">
        <f>SUM(D100)</f>
        <v>368.07</v>
      </c>
      <c r="E99" s="281">
        <f>SUM(E100)</f>
        <v>0</v>
      </c>
      <c r="F99" s="281">
        <f t="shared" si="0"/>
        <v>368.07</v>
      </c>
    </row>
    <row r="100" spans="1:6">
      <c r="A100" s="178"/>
      <c r="B100" s="179" t="s">
        <v>240</v>
      </c>
      <c r="D100" s="177">
        <v>368.07</v>
      </c>
      <c r="E100" s="177">
        <v>0</v>
      </c>
      <c r="F100" s="177">
        <f t="shared" si="0"/>
        <v>368.07</v>
      </c>
    </row>
    <row r="101" spans="1:6">
      <c r="A101" s="178" t="s">
        <v>246</v>
      </c>
      <c r="B101" s="179"/>
      <c r="D101" s="281">
        <f>SUM(D102:D103)</f>
        <v>2111.98</v>
      </c>
      <c r="E101" s="281">
        <f>SUM(E102:E103)</f>
        <v>0</v>
      </c>
      <c r="F101" s="281">
        <f>SUM(F102:F103)</f>
        <v>2111.98</v>
      </c>
    </row>
    <row r="102" spans="1:6">
      <c r="A102" s="178"/>
      <c r="B102" s="179" t="s">
        <v>236</v>
      </c>
      <c r="D102" s="177">
        <v>2077.35</v>
      </c>
      <c r="E102" s="177">
        <v>0</v>
      </c>
      <c r="F102" s="177">
        <f t="shared" si="0"/>
        <v>2077.35</v>
      </c>
    </row>
    <row r="103" spans="1:6">
      <c r="A103" s="178"/>
      <c r="B103" s="179" t="s">
        <v>229</v>
      </c>
      <c r="D103" s="177">
        <v>34.630000000000003</v>
      </c>
      <c r="E103" s="177">
        <v>0</v>
      </c>
      <c r="F103" s="177">
        <f t="shared" si="0"/>
        <v>34.630000000000003</v>
      </c>
    </row>
    <row r="104" spans="1:6">
      <c r="A104" s="178" t="s">
        <v>588</v>
      </c>
      <c r="B104" s="179"/>
      <c r="C104" s="107"/>
      <c r="D104" s="281">
        <f t="shared" ref="D104:F104" si="1">SUM(D105)</f>
        <v>0</v>
      </c>
      <c r="E104" s="281">
        <f t="shared" si="1"/>
        <v>0</v>
      </c>
      <c r="F104" s="281">
        <f t="shared" si="1"/>
        <v>0</v>
      </c>
    </row>
    <row r="105" spans="1:6">
      <c r="A105" s="178"/>
      <c r="B105" s="179" t="s">
        <v>586</v>
      </c>
      <c r="D105" s="177">
        <v>0</v>
      </c>
      <c r="E105" s="177">
        <v>0</v>
      </c>
      <c r="F105" s="177">
        <f t="shared" si="0"/>
        <v>0</v>
      </c>
    </row>
    <row r="106" spans="1:6">
      <c r="A106" s="178" t="s">
        <v>589</v>
      </c>
      <c r="B106" s="179"/>
      <c r="D106" s="281">
        <f t="shared" ref="D106:F106" si="2">SUM(D107)</f>
        <v>0</v>
      </c>
      <c r="E106" s="281">
        <f t="shared" si="2"/>
        <v>0</v>
      </c>
      <c r="F106" s="281">
        <f t="shared" si="2"/>
        <v>0</v>
      </c>
    </row>
    <row r="107" spans="1:6">
      <c r="A107" s="178"/>
      <c r="B107" s="179" t="s">
        <v>586</v>
      </c>
      <c r="D107" s="177">
        <v>0</v>
      </c>
      <c r="E107" s="177">
        <v>0</v>
      </c>
      <c r="F107" s="177">
        <f t="shared" si="0"/>
        <v>0</v>
      </c>
    </row>
    <row r="108" spans="1:6">
      <c r="A108" s="178" t="s">
        <v>247</v>
      </c>
      <c r="B108" s="179"/>
      <c r="D108" s="281">
        <f t="shared" ref="D108:F108" si="3">SUM(D109)</f>
        <v>0</v>
      </c>
      <c r="E108" s="281">
        <f t="shared" si="3"/>
        <v>0</v>
      </c>
      <c r="F108" s="281">
        <f t="shared" si="3"/>
        <v>0</v>
      </c>
    </row>
    <row r="109" spans="1:6">
      <c r="A109" s="178"/>
      <c r="B109" s="179" t="s">
        <v>586</v>
      </c>
      <c r="D109" s="177">
        <v>0</v>
      </c>
      <c r="E109" s="177">
        <v>0</v>
      </c>
      <c r="F109" s="177">
        <f t="shared" si="0"/>
        <v>0</v>
      </c>
    </row>
    <row r="110" spans="1:6">
      <c r="A110" s="178" t="s">
        <v>248</v>
      </c>
      <c r="B110" s="179"/>
      <c r="D110" s="281">
        <f t="shared" ref="D110:F110" si="4">SUM(D111:D116)</f>
        <v>2035.98</v>
      </c>
      <c r="E110" s="281">
        <f t="shared" si="4"/>
        <v>1268.49</v>
      </c>
      <c r="F110" s="281">
        <f t="shared" si="4"/>
        <v>3304.4700000000003</v>
      </c>
    </row>
    <row r="111" spans="1:6">
      <c r="A111" s="178"/>
      <c r="B111" s="179" t="s">
        <v>238</v>
      </c>
      <c r="D111" s="177">
        <v>0</v>
      </c>
      <c r="E111" s="177">
        <v>0</v>
      </c>
      <c r="F111" s="177">
        <f t="shared" si="0"/>
        <v>0</v>
      </c>
    </row>
    <row r="112" spans="1:6">
      <c r="A112" s="178"/>
      <c r="B112" s="179" t="s">
        <v>236</v>
      </c>
      <c r="D112" s="177">
        <v>1038.67</v>
      </c>
      <c r="E112" s="177">
        <v>0</v>
      </c>
      <c r="F112" s="177">
        <f t="shared" si="0"/>
        <v>1038.67</v>
      </c>
    </row>
    <row r="113" spans="1:6">
      <c r="A113" s="178"/>
      <c r="B113" s="179" t="s">
        <v>234</v>
      </c>
      <c r="D113" s="177">
        <v>0</v>
      </c>
      <c r="E113" s="177">
        <v>0</v>
      </c>
      <c r="F113" s="177">
        <f t="shared" si="0"/>
        <v>0</v>
      </c>
    </row>
    <row r="114" spans="1:6">
      <c r="A114" s="178"/>
      <c r="B114" s="179" t="s">
        <v>232</v>
      </c>
      <c r="D114" s="177">
        <v>26.75</v>
      </c>
      <c r="E114" s="177">
        <v>158.76</v>
      </c>
      <c r="F114" s="177">
        <f t="shared" si="0"/>
        <v>185.51</v>
      </c>
    </row>
    <row r="115" spans="1:6">
      <c r="A115" s="178"/>
      <c r="B115" s="179" t="s">
        <v>229</v>
      </c>
      <c r="D115" s="177">
        <v>367.01</v>
      </c>
      <c r="E115" s="177">
        <v>376.57</v>
      </c>
      <c r="F115" s="177">
        <f t="shared" si="0"/>
        <v>743.57999999999993</v>
      </c>
    </row>
    <row r="116" spans="1:6">
      <c r="A116" s="178"/>
      <c r="B116" s="179" t="s">
        <v>240</v>
      </c>
      <c r="D116" s="177">
        <v>603.54999999999995</v>
      </c>
      <c r="E116" s="177">
        <v>733.16000000000008</v>
      </c>
      <c r="F116" s="177">
        <f t="shared" si="0"/>
        <v>1336.71</v>
      </c>
    </row>
    <row r="117" spans="1:6">
      <c r="A117" s="178" t="s">
        <v>249</v>
      </c>
      <c r="B117" s="179"/>
      <c r="D117" s="281">
        <f>SUM(D118:D122)</f>
        <v>24500</v>
      </c>
      <c r="E117" s="281">
        <f>SUM(E118:E122)</f>
        <v>0</v>
      </c>
      <c r="F117" s="281">
        <f>SUM(F118:F122)</f>
        <v>24500</v>
      </c>
    </row>
    <row r="118" spans="1:6">
      <c r="A118" s="178"/>
      <c r="B118" s="179" t="s">
        <v>243</v>
      </c>
      <c r="C118" s="107"/>
      <c r="D118" s="177">
        <v>0</v>
      </c>
      <c r="E118" s="177">
        <v>0</v>
      </c>
      <c r="F118" s="177">
        <f t="shared" si="0"/>
        <v>0</v>
      </c>
    </row>
    <row r="119" spans="1:6">
      <c r="A119" s="178"/>
      <c r="B119" s="179" t="s">
        <v>590</v>
      </c>
      <c r="D119" s="177">
        <v>0</v>
      </c>
      <c r="E119" s="177">
        <v>0</v>
      </c>
      <c r="F119" s="177">
        <f t="shared" si="0"/>
        <v>0</v>
      </c>
    </row>
    <row r="120" spans="1:6">
      <c r="A120" s="178"/>
      <c r="B120" s="179" t="s">
        <v>242</v>
      </c>
      <c r="D120" s="177">
        <v>0</v>
      </c>
      <c r="E120" s="177">
        <v>0</v>
      </c>
      <c r="F120" s="177">
        <f t="shared" si="0"/>
        <v>0</v>
      </c>
    </row>
    <row r="121" spans="1:6">
      <c r="A121" s="178"/>
      <c r="B121" s="179" t="s">
        <v>241</v>
      </c>
      <c r="D121" s="177">
        <v>11000</v>
      </c>
      <c r="E121" s="177">
        <v>0</v>
      </c>
      <c r="F121" s="177">
        <f t="shared" si="0"/>
        <v>11000</v>
      </c>
    </row>
    <row r="122" spans="1:6">
      <c r="A122" s="178"/>
      <c r="B122" s="179" t="s">
        <v>250</v>
      </c>
      <c r="D122" s="177">
        <v>13500</v>
      </c>
      <c r="E122" s="177">
        <v>0</v>
      </c>
      <c r="F122" s="177">
        <f t="shared" si="0"/>
        <v>13500</v>
      </c>
    </row>
    <row r="123" spans="1:6">
      <c r="A123" s="178" t="s">
        <v>251</v>
      </c>
      <c r="B123" s="179"/>
      <c r="D123" s="281">
        <f t="shared" ref="D123:F123" si="5">SUM(D124:D127)</f>
        <v>3891.13</v>
      </c>
      <c r="E123" s="281">
        <f t="shared" si="5"/>
        <v>10157.259999999998</v>
      </c>
      <c r="F123" s="281">
        <f t="shared" si="5"/>
        <v>14048.390000000003</v>
      </c>
    </row>
    <row r="124" spans="1:6">
      <c r="A124" s="178"/>
      <c r="B124" s="179" t="s">
        <v>232</v>
      </c>
      <c r="D124" s="177">
        <v>931.58</v>
      </c>
      <c r="E124" s="177">
        <v>7874.3499999999995</v>
      </c>
      <c r="F124" s="177">
        <f t="shared" si="0"/>
        <v>8805.93</v>
      </c>
    </row>
    <row r="125" spans="1:6">
      <c r="A125" s="178"/>
      <c r="B125" s="179" t="s">
        <v>239</v>
      </c>
      <c r="D125" s="177">
        <v>2715.88</v>
      </c>
      <c r="E125" s="177">
        <v>0</v>
      </c>
      <c r="F125" s="177">
        <f t="shared" si="0"/>
        <v>2715.88</v>
      </c>
    </row>
    <row r="126" spans="1:6">
      <c r="A126" s="178"/>
      <c r="B126" s="179" t="s">
        <v>229</v>
      </c>
      <c r="D126" s="177">
        <v>107.76</v>
      </c>
      <c r="E126" s="177">
        <v>1001.03</v>
      </c>
      <c r="F126" s="177">
        <f t="shared" si="0"/>
        <v>1108.79</v>
      </c>
    </row>
    <row r="127" spans="1:6">
      <c r="A127" s="178"/>
      <c r="B127" s="179" t="s">
        <v>240</v>
      </c>
      <c r="D127" s="177">
        <v>135.91</v>
      </c>
      <c r="E127" s="177">
        <v>1281.8799999999999</v>
      </c>
      <c r="F127" s="177">
        <f t="shared" si="0"/>
        <v>1417.79</v>
      </c>
    </row>
    <row r="128" spans="1:6">
      <c r="A128" s="178" t="s">
        <v>252</v>
      </c>
      <c r="B128" s="179"/>
      <c r="D128" s="281">
        <f t="shared" ref="D128:F128" si="6">SUM(D129:D131)</f>
        <v>0</v>
      </c>
      <c r="E128" s="281">
        <f t="shared" si="6"/>
        <v>0</v>
      </c>
      <c r="F128" s="281">
        <f t="shared" si="6"/>
        <v>0</v>
      </c>
    </row>
    <row r="129" spans="1:6">
      <c r="A129" s="178"/>
      <c r="B129" s="179" t="s">
        <v>232</v>
      </c>
      <c r="D129" s="177">
        <v>0</v>
      </c>
      <c r="E129" s="177">
        <v>0</v>
      </c>
      <c r="F129" s="177">
        <f t="shared" ref="F129:F192" si="7">SUM(D129:E129)</f>
        <v>0</v>
      </c>
    </row>
    <row r="130" spans="1:6">
      <c r="A130" s="178"/>
      <c r="B130" s="179" t="s">
        <v>229</v>
      </c>
      <c r="D130" s="177">
        <v>0</v>
      </c>
      <c r="E130" s="177">
        <v>0</v>
      </c>
      <c r="F130" s="177">
        <f t="shared" si="7"/>
        <v>0</v>
      </c>
    </row>
    <row r="131" spans="1:6">
      <c r="A131" s="178"/>
      <c r="B131" s="179" t="s">
        <v>240</v>
      </c>
      <c r="C131" s="107"/>
      <c r="D131" s="177">
        <v>0</v>
      </c>
      <c r="E131" s="177">
        <v>0</v>
      </c>
      <c r="F131" s="177">
        <f t="shared" si="7"/>
        <v>0</v>
      </c>
    </row>
    <row r="132" spans="1:6">
      <c r="A132" s="178" t="s">
        <v>591</v>
      </c>
      <c r="B132" s="179"/>
      <c r="D132" s="281">
        <f t="shared" ref="D132:F132" si="8">SUM(D133:D134)</f>
        <v>0</v>
      </c>
      <c r="E132" s="281">
        <f t="shared" si="8"/>
        <v>0</v>
      </c>
      <c r="F132" s="281">
        <f t="shared" si="8"/>
        <v>0</v>
      </c>
    </row>
    <row r="133" spans="1:6">
      <c r="A133" s="178"/>
      <c r="B133" s="179" t="s">
        <v>241</v>
      </c>
      <c r="D133" s="177">
        <v>0</v>
      </c>
      <c r="E133" s="177">
        <v>0</v>
      </c>
      <c r="F133" s="177">
        <f t="shared" si="7"/>
        <v>0</v>
      </c>
    </row>
    <row r="134" spans="1:6">
      <c r="A134" s="178"/>
      <c r="B134" s="179" t="s">
        <v>239</v>
      </c>
      <c r="D134" s="177">
        <v>0</v>
      </c>
      <c r="E134" s="177">
        <v>0</v>
      </c>
      <c r="F134" s="177">
        <f t="shared" si="7"/>
        <v>0</v>
      </c>
    </row>
    <row r="135" spans="1:6">
      <c r="A135" s="178" t="s">
        <v>253</v>
      </c>
      <c r="B135" s="179"/>
      <c r="C135" s="107"/>
      <c r="D135" s="281">
        <f t="shared" ref="D135:F135" si="9">SUM(D136:D138)</f>
        <v>0</v>
      </c>
      <c r="E135" s="281">
        <f t="shared" si="9"/>
        <v>0</v>
      </c>
      <c r="F135" s="281">
        <f t="shared" si="9"/>
        <v>0</v>
      </c>
    </row>
    <row r="136" spans="1:6">
      <c r="A136" s="178"/>
      <c r="B136" s="179" t="s">
        <v>241</v>
      </c>
      <c r="D136" s="177">
        <v>0</v>
      </c>
      <c r="E136" s="177">
        <v>0</v>
      </c>
      <c r="F136" s="177">
        <f t="shared" si="7"/>
        <v>0</v>
      </c>
    </row>
    <row r="137" spans="1:6">
      <c r="A137" s="178"/>
      <c r="B137" s="179" t="s">
        <v>250</v>
      </c>
      <c r="C137" s="107"/>
      <c r="D137" s="177">
        <v>0</v>
      </c>
      <c r="E137" s="177">
        <v>0</v>
      </c>
      <c r="F137" s="177">
        <f t="shared" si="7"/>
        <v>0</v>
      </c>
    </row>
    <row r="138" spans="1:6">
      <c r="A138" s="178"/>
      <c r="B138" s="179" t="s">
        <v>242</v>
      </c>
      <c r="D138" s="177">
        <v>0</v>
      </c>
      <c r="E138" s="177">
        <v>0</v>
      </c>
      <c r="F138" s="177">
        <f t="shared" si="7"/>
        <v>0</v>
      </c>
    </row>
    <row r="139" spans="1:6">
      <c r="A139" s="178" t="s">
        <v>254</v>
      </c>
      <c r="B139" s="179"/>
      <c r="D139" s="281">
        <f t="shared" ref="D139:F139" si="10">SUM(D140)</f>
        <v>0</v>
      </c>
      <c r="E139" s="281">
        <f t="shared" si="10"/>
        <v>0</v>
      </c>
      <c r="F139" s="281">
        <f t="shared" si="10"/>
        <v>0</v>
      </c>
    </row>
    <row r="140" spans="1:6">
      <c r="A140" s="178"/>
      <c r="B140" s="179" t="s">
        <v>242</v>
      </c>
      <c r="C140" s="107"/>
      <c r="D140" s="177">
        <v>0</v>
      </c>
      <c r="E140" s="177">
        <v>0</v>
      </c>
      <c r="F140" s="177">
        <f t="shared" si="7"/>
        <v>0</v>
      </c>
    </row>
    <row r="141" spans="1:6">
      <c r="A141" s="178" t="s">
        <v>255</v>
      </c>
      <c r="B141" s="179"/>
      <c r="D141" s="281">
        <f t="shared" ref="D141:F141" si="11">SUM(D142:D150)</f>
        <v>212714.31</v>
      </c>
      <c r="E141" s="281">
        <f t="shared" si="11"/>
        <v>261155.53999999998</v>
      </c>
      <c r="F141" s="281">
        <f t="shared" si="11"/>
        <v>473869.85</v>
      </c>
    </row>
    <row r="142" spans="1:6">
      <c r="A142" s="178"/>
      <c r="B142" s="179" t="s">
        <v>238</v>
      </c>
      <c r="D142" s="177">
        <v>0</v>
      </c>
      <c r="E142" s="177">
        <v>0</v>
      </c>
      <c r="F142" s="177">
        <f t="shared" si="7"/>
        <v>0</v>
      </c>
    </row>
    <row r="143" spans="1:6">
      <c r="A143" s="178"/>
      <c r="B143" s="179" t="s">
        <v>237</v>
      </c>
      <c r="C143" s="107"/>
      <c r="D143" s="177">
        <v>0</v>
      </c>
      <c r="E143" s="177">
        <v>0</v>
      </c>
      <c r="F143" s="177">
        <f t="shared" si="7"/>
        <v>0</v>
      </c>
    </row>
    <row r="144" spans="1:6">
      <c r="A144" s="178"/>
      <c r="B144" s="179" t="s">
        <v>236</v>
      </c>
      <c r="D144" s="177">
        <v>2031.48</v>
      </c>
      <c r="E144" s="177">
        <v>14424.76</v>
      </c>
      <c r="F144" s="177">
        <f t="shared" si="7"/>
        <v>16456.240000000002</v>
      </c>
    </row>
    <row r="145" spans="1:6">
      <c r="A145" s="178"/>
      <c r="B145" s="179" t="s">
        <v>234</v>
      </c>
      <c r="D145" s="177">
        <v>0</v>
      </c>
      <c r="E145" s="177">
        <v>0</v>
      </c>
      <c r="F145" s="177">
        <f t="shared" si="7"/>
        <v>0</v>
      </c>
    </row>
    <row r="146" spans="1:6">
      <c r="A146" s="178"/>
      <c r="B146" s="179" t="s">
        <v>241</v>
      </c>
      <c r="C146" s="107"/>
      <c r="D146" s="177">
        <v>0</v>
      </c>
      <c r="E146" s="177">
        <v>0</v>
      </c>
      <c r="F146" s="177">
        <f t="shared" si="7"/>
        <v>0</v>
      </c>
    </row>
    <row r="147" spans="1:6">
      <c r="A147" s="178"/>
      <c r="B147" s="179" t="s">
        <v>235</v>
      </c>
      <c r="D147" s="177">
        <v>0</v>
      </c>
      <c r="E147" s="177">
        <v>0</v>
      </c>
      <c r="F147" s="177">
        <f t="shared" si="7"/>
        <v>0</v>
      </c>
    </row>
    <row r="148" spans="1:6">
      <c r="A148" s="178"/>
      <c r="B148" s="179" t="s">
        <v>232</v>
      </c>
      <c r="D148" s="177">
        <v>109008.44</v>
      </c>
      <c r="E148" s="177">
        <v>110638.08</v>
      </c>
      <c r="F148" s="177">
        <f t="shared" si="7"/>
        <v>219646.52000000002</v>
      </c>
    </row>
    <row r="149" spans="1:6">
      <c r="A149" s="178"/>
      <c r="B149" s="179" t="s">
        <v>229</v>
      </c>
      <c r="C149" s="107"/>
      <c r="D149" s="177">
        <v>37370.829999999994</v>
      </c>
      <c r="E149" s="177">
        <v>121143.26</v>
      </c>
      <c r="F149" s="177">
        <f t="shared" si="7"/>
        <v>158514.09</v>
      </c>
    </row>
    <row r="150" spans="1:6">
      <c r="A150" s="178"/>
      <c r="B150" s="179" t="s">
        <v>240</v>
      </c>
      <c r="D150" s="177">
        <v>64303.56</v>
      </c>
      <c r="E150" s="177">
        <v>14949.44</v>
      </c>
      <c r="F150" s="177">
        <f t="shared" si="7"/>
        <v>79253</v>
      </c>
    </row>
    <row r="151" spans="1:6">
      <c r="A151" s="178" t="s">
        <v>256</v>
      </c>
      <c r="B151" s="179"/>
      <c r="D151" s="281">
        <f t="shared" ref="D151:F151" si="12">SUM(D152:D156)</f>
        <v>509209.36999999994</v>
      </c>
      <c r="E151" s="281">
        <f t="shared" si="12"/>
        <v>9192.0300000000007</v>
      </c>
      <c r="F151" s="281">
        <f t="shared" si="12"/>
        <v>518401.39999999997</v>
      </c>
    </row>
    <row r="152" spans="1:6">
      <c r="A152" s="178"/>
      <c r="B152" s="179" t="s">
        <v>241</v>
      </c>
      <c r="D152" s="177">
        <v>0</v>
      </c>
      <c r="E152" s="177">
        <v>0</v>
      </c>
      <c r="F152" s="177">
        <f t="shared" si="7"/>
        <v>0</v>
      </c>
    </row>
    <row r="153" spans="1:6">
      <c r="A153" s="178"/>
      <c r="B153" s="179" t="s">
        <v>250</v>
      </c>
      <c r="D153" s="177">
        <v>0</v>
      </c>
      <c r="E153" s="177">
        <v>0</v>
      </c>
      <c r="F153" s="177">
        <f t="shared" si="7"/>
        <v>0</v>
      </c>
    </row>
    <row r="154" spans="1:6">
      <c r="A154" s="178"/>
      <c r="B154" s="179" t="s">
        <v>232</v>
      </c>
      <c r="D154" s="177">
        <v>503723.07999999996</v>
      </c>
      <c r="E154" s="177">
        <v>1723.33</v>
      </c>
      <c r="F154" s="177">
        <f t="shared" si="7"/>
        <v>505446.41</v>
      </c>
    </row>
    <row r="155" spans="1:6">
      <c r="A155" s="178"/>
      <c r="B155" s="179" t="s">
        <v>229</v>
      </c>
      <c r="D155" s="177">
        <v>5486.29</v>
      </c>
      <c r="E155" s="177">
        <v>7468.7000000000007</v>
      </c>
      <c r="F155" s="177">
        <f t="shared" si="7"/>
        <v>12954.990000000002</v>
      </c>
    </row>
    <row r="156" spans="1:6">
      <c r="A156" s="178"/>
      <c r="B156" s="179" t="s">
        <v>240</v>
      </c>
      <c r="D156" s="177">
        <v>0</v>
      </c>
      <c r="E156" s="177">
        <v>0</v>
      </c>
      <c r="F156" s="177">
        <f t="shared" si="7"/>
        <v>0</v>
      </c>
    </row>
    <row r="157" spans="1:6">
      <c r="A157" s="178" t="s">
        <v>257</v>
      </c>
      <c r="B157" s="179"/>
      <c r="C157" s="107"/>
      <c r="D157" s="281">
        <f t="shared" ref="D157:F157" si="13">SUM(D158:D160)</f>
        <v>20034.5</v>
      </c>
      <c r="E157" s="281">
        <f t="shared" si="13"/>
        <v>3795.6</v>
      </c>
      <c r="F157" s="281">
        <f t="shared" si="13"/>
        <v>23830.1</v>
      </c>
    </row>
    <row r="158" spans="1:6">
      <c r="A158" s="178"/>
      <c r="B158" s="179" t="s">
        <v>241</v>
      </c>
      <c r="D158" s="177">
        <v>0</v>
      </c>
      <c r="E158" s="177">
        <v>0</v>
      </c>
      <c r="F158" s="177">
        <f t="shared" si="7"/>
        <v>0</v>
      </c>
    </row>
    <row r="159" spans="1:6">
      <c r="A159" s="178"/>
      <c r="B159" s="179" t="s">
        <v>232</v>
      </c>
      <c r="D159" s="177">
        <v>13891.89</v>
      </c>
      <c r="E159" s="177">
        <v>193.64</v>
      </c>
      <c r="F159" s="177">
        <f t="shared" si="7"/>
        <v>14085.529999999999</v>
      </c>
    </row>
    <row r="160" spans="1:6">
      <c r="A160" s="178"/>
      <c r="B160" s="179" t="s">
        <v>229</v>
      </c>
      <c r="C160" s="107"/>
      <c r="D160" s="177">
        <v>6142.61</v>
      </c>
      <c r="E160" s="177">
        <v>3601.96</v>
      </c>
      <c r="F160" s="177">
        <f t="shared" si="7"/>
        <v>9744.57</v>
      </c>
    </row>
    <row r="161" spans="1:6">
      <c r="A161" s="178" t="s">
        <v>258</v>
      </c>
      <c r="B161" s="179"/>
      <c r="D161" s="281">
        <f t="shared" ref="D161:F161" si="14">SUM(D162:D163)</f>
        <v>0</v>
      </c>
      <c r="E161" s="281">
        <f t="shared" si="14"/>
        <v>0</v>
      </c>
      <c r="F161" s="281">
        <f t="shared" si="14"/>
        <v>0</v>
      </c>
    </row>
    <row r="162" spans="1:6">
      <c r="A162" s="178"/>
      <c r="B162" s="179" t="s">
        <v>232</v>
      </c>
      <c r="D162" s="177">
        <v>0</v>
      </c>
      <c r="E162" s="177">
        <v>0</v>
      </c>
      <c r="F162" s="177">
        <f t="shared" si="7"/>
        <v>0</v>
      </c>
    </row>
    <row r="163" spans="1:6">
      <c r="A163" s="178"/>
      <c r="B163" s="179" t="s">
        <v>229</v>
      </c>
      <c r="D163" s="177">
        <v>0</v>
      </c>
      <c r="E163" s="177">
        <v>0</v>
      </c>
      <c r="F163" s="177">
        <f t="shared" si="7"/>
        <v>0</v>
      </c>
    </row>
    <row r="164" spans="1:6">
      <c r="A164" s="178" t="s">
        <v>592</v>
      </c>
      <c r="B164" s="179"/>
      <c r="C164" s="107"/>
      <c r="D164" s="281">
        <f t="shared" ref="D164:F164" si="15">SUM(D165:D166)</f>
        <v>231.38</v>
      </c>
      <c r="E164" s="281">
        <f>SUM(E165:E166)</f>
        <v>0</v>
      </c>
      <c r="F164" s="281">
        <f t="shared" si="15"/>
        <v>231.38</v>
      </c>
    </row>
    <row r="165" spans="1:6">
      <c r="A165" s="178"/>
      <c r="B165" s="179" t="s">
        <v>264</v>
      </c>
      <c r="D165" s="177">
        <v>231.38</v>
      </c>
      <c r="E165" s="177">
        <v>0</v>
      </c>
      <c r="F165" s="177">
        <f t="shared" si="7"/>
        <v>231.38</v>
      </c>
    </row>
    <row r="166" spans="1:6">
      <c r="A166" s="178"/>
      <c r="B166" s="179" t="s">
        <v>241</v>
      </c>
      <c r="D166" s="177">
        <v>0</v>
      </c>
      <c r="E166" s="177">
        <v>0</v>
      </c>
      <c r="F166" s="177">
        <f t="shared" si="7"/>
        <v>0</v>
      </c>
    </row>
    <row r="167" spans="1:6">
      <c r="A167" s="178" t="s">
        <v>259</v>
      </c>
      <c r="B167" s="179"/>
      <c r="D167" s="281">
        <f t="shared" ref="D167:F167" si="16">SUM(D168:D174)</f>
        <v>33414.06</v>
      </c>
      <c r="E167" s="281">
        <f t="shared" si="16"/>
        <v>72796.55</v>
      </c>
      <c r="F167" s="281">
        <f t="shared" si="16"/>
        <v>106210.61</v>
      </c>
    </row>
    <row r="168" spans="1:6">
      <c r="A168" s="178"/>
      <c r="B168" s="179" t="s">
        <v>238</v>
      </c>
      <c r="C168" s="107"/>
      <c r="D168" s="177">
        <v>0</v>
      </c>
      <c r="E168" s="177">
        <v>0</v>
      </c>
      <c r="F168" s="177">
        <f t="shared" si="7"/>
        <v>0</v>
      </c>
    </row>
    <row r="169" spans="1:6">
      <c r="A169" s="178"/>
      <c r="B169" s="179" t="s">
        <v>236</v>
      </c>
      <c r="D169" s="177">
        <v>37.93</v>
      </c>
      <c r="E169" s="177">
        <v>218.69</v>
      </c>
      <c r="F169" s="177">
        <f t="shared" si="7"/>
        <v>256.62</v>
      </c>
    </row>
    <row r="170" spans="1:6">
      <c r="A170" s="178"/>
      <c r="B170" s="179" t="s">
        <v>234</v>
      </c>
      <c r="C170" s="107"/>
      <c r="D170" s="177">
        <v>0</v>
      </c>
      <c r="E170" s="177">
        <v>0</v>
      </c>
      <c r="F170" s="177">
        <f t="shared" si="7"/>
        <v>0</v>
      </c>
    </row>
    <row r="171" spans="1:6">
      <c r="A171" s="178"/>
      <c r="B171" s="179" t="s">
        <v>235</v>
      </c>
      <c r="D171" s="177">
        <v>0</v>
      </c>
      <c r="E171" s="177">
        <v>0</v>
      </c>
      <c r="F171" s="177">
        <f t="shared" si="7"/>
        <v>0</v>
      </c>
    </row>
    <row r="172" spans="1:6">
      <c r="A172" s="178"/>
      <c r="B172" s="179" t="s">
        <v>232</v>
      </c>
      <c r="C172" s="107"/>
      <c r="D172" s="177">
        <v>2053.11</v>
      </c>
      <c r="E172" s="177">
        <v>19492.39</v>
      </c>
      <c r="F172" s="177">
        <f t="shared" si="7"/>
        <v>21545.5</v>
      </c>
    </row>
    <row r="173" spans="1:6">
      <c r="A173" s="178"/>
      <c r="B173" s="179" t="s">
        <v>229</v>
      </c>
      <c r="D173" s="177">
        <v>31323.02</v>
      </c>
      <c r="E173" s="177">
        <v>53085.47</v>
      </c>
      <c r="F173" s="177">
        <f t="shared" si="7"/>
        <v>84408.49</v>
      </c>
    </row>
    <row r="174" spans="1:6">
      <c r="A174" s="178"/>
      <c r="B174" s="179" t="s">
        <v>240</v>
      </c>
      <c r="C174" s="107"/>
      <c r="D174" s="177">
        <v>0</v>
      </c>
      <c r="E174" s="177">
        <v>0</v>
      </c>
      <c r="F174" s="177">
        <f t="shared" si="7"/>
        <v>0</v>
      </c>
    </row>
    <row r="175" spans="1:6">
      <c r="A175" s="178" t="s">
        <v>593</v>
      </c>
      <c r="B175" s="179"/>
      <c r="D175" s="281">
        <f t="shared" ref="D175:F175" si="17">SUM(D176:D177)</f>
        <v>12484.29</v>
      </c>
      <c r="E175" s="281">
        <f t="shared" si="17"/>
        <v>0</v>
      </c>
      <c r="F175" s="281">
        <f t="shared" si="17"/>
        <v>12484.29</v>
      </c>
    </row>
    <row r="176" spans="1:6">
      <c r="A176" s="178"/>
      <c r="B176" s="179" t="s">
        <v>264</v>
      </c>
      <c r="C176" s="107"/>
      <c r="D176" s="177">
        <v>12000</v>
      </c>
      <c r="E176" s="177">
        <v>0</v>
      </c>
      <c r="F176" s="177">
        <f t="shared" si="7"/>
        <v>12000</v>
      </c>
    </row>
    <row r="177" spans="1:6">
      <c r="A177" s="178"/>
      <c r="B177" s="179" t="s">
        <v>232</v>
      </c>
      <c r="D177" s="177">
        <v>484.28999999999996</v>
      </c>
      <c r="E177" s="177">
        <v>0</v>
      </c>
      <c r="F177" s="177">
        <f t="shared" si="7"/>
        <v>484.28999999999996</v>
      </c>
    </row>
    <row r="178" spans="1:6">
      <c r="A178" s="178" t="s">
        <v>260</v>
      </c>
      <c r="B178" s="179"/>
      <c r="C178" s="107"/>
      <c r="D178" s="281">
        <f t="shared" ref="D178:F178" si="18">SUM(D179)</f>
        <v>0</v>
      </c>
      <c r="E178" s="281">
        <f t="shared" si="18"/>
        <v>0</v>
      </c>
      <c r="F178" s="281">
        <f t="shared" si="18"/>
        <v>0</v>
      </c>
    </row>
    <row r="179" spans="1:6">
      <c r="A179" s="178"/>
      <c r="B179" s="179" t="s">
        <v>241</v>
      </c>
      <c r="D179" s="177">
        <v>0</v>
      </c>
      <c r="E179" s="177">
        <v>0</v>
      </c>
      <c r="F179" s="177">
        <f t="shared" si="7"/>
        <v>0</v>
      </c>
    </row>
    <row r="180" spans="1:6">
      <c r="A180" s="178" t="s">
        <v>594</v>
      </c>
      <c r="B180" s="179"/>
      <c r="C180" s="107"/>
      <c r="D180" s="281">
        <f t="shared" ref="D180:F180" si="19">SUM(D181)</f>
        <v>211.65</v>
      </c>
      <c r="E180" s="281">
        <f t="shared" si="19"/>
        <v>0</v>
      </c>
      <c r="F180" s="281">
        <f t="shared" si="19"/>
        <v>211.65</v>
      </c>
    </row>
    <row r="181" spans="1:6">
      <c r="A181" s="178"/>
      <c r="B181" s="179" t="s">
        <v>232</v>
      </c>
      <c r="D181" s="177">
        <v>211.65</v>
      </c>
      <c r="E181" s="177">
        <v>0</v>
      </c>
      <c r="F181" s="177">
        <f t="shared" si="7"/>
        <v>211.65</v>
      </c>
    </row>
    <row r="182" spans="1:6">
      <c r="A182" s="178" t="s">
        <v>595</v>
      </c>
      <c r="B182" s="179"/>
      <c r="C182" s="107"/>
      <c r="D182" s="281">
        <f t="shared" ref="D182:F182" si="20">SUM(D183)</f>
        <v>7.59</v>
      </c>
      <c r="E182" s="281">
        <f t="shared" si="20"/>
        <v>44.41</v>
      </c>
      <c r="F182" s="281">
        <f t="shared" si="20"/>
        <v>52</v>
      </c>
    </row>
    <row r="183" spans="1:6">
      <c r="A183" s="178"/>
      <c r="B183" s="179" t="s">
        <v>232</v>
      </c>
      <c r="D183" s="177">
        <v>7.59</v>
      </c>
      <c r="E183" s="177">
        <v>44.41</v>
      </c>
      <c r="F183" s="177">
        <f t="shared" si="7"/>
        <v>52</v>
      </c>
    </row>
    <row r="184" spans="1:6">
      <c r="A184" s="178" t="s">
        <v>261</v>
      </c>
      <c r="B184" s="180"/>
      <c r="C184" s="107"/>
      <c r="D184" s="281">
        <f t="shared" ref="D184:F184" si="21">SUM(D185)</f>
        <v>0</v>
      </c>
      <c r="E184" s="281">
        <f t="shared" si="21"/>
        <v>0</v>
      </c>
      <c r="F184" s="281">
        <f t="shared" si="21"/>
        <v>0</v>
      </c>
    </row>
    <row r="185" spans="1:6">
      <c r="A185" s="178"/>
      <c r="B185" s="180" t="s">
        <v>243</v>
      </c>
      <c r="D185" s="177">
        <v>0</v>
      </c>
      <c r="E185" s="177">
        <v>0</v>
      </c>
      <c r="F185" s="177">
        <f t="shared" si="7"/>
        <v>0</v>
      </c>
    </row>
    <row r="186" spans="1:6">
      <c r="A186" s="178" t="s">
        <v>262</v>
      </c>
      <c r="B186" s="180"/>
      <c r="D186" s="281">
        <f t="shared" ref="D186:F186" si="22">SUM(D187:D196)</f>
        <v>198917.90000000002</v>
      </c>
      <c r="E186" s="281">
        <f t="shared" si="22"/>
        <v>1059645.3699999999</v>
      </c>
      <c r="F186" s="281">
        <f t="shared" si="22"/>
        <v>1258563.27</v>
      </c>
    </row>
    <row r="187" spans="1:6">
      <c r="A187" s="178"/>
      <c r="B187" s="180" t="s">
        <v>238</v>
      </c>
      <c r="D187" s="177">
        <v>0</v>
      </c>
      <c r="E187" s="177">
        <v>0</v>
      </c>
      <c r="F187" s="177">
        <f t="shared" si="7"/>
        <v>0</v>
      </c>
    </row>
    <row r="188" spans="1:6">
      <c r="A188" s="178"/>
      <c r="B188" s="180" t="s">
        <v>237</v>
      </c>
      <c r="D188" s="177">
        <v>0</v>
      </c>
      <c r="E188" s="177">
        <v>0</v>
      </c>
      <c r="F188" s="177">
        <f t="shared" si="7"/>
        <v>0</v>
      </c>
    </row>
    <row r="189" spans="1:6">
      <c r="A189" s="178"/>
      <c r="B189" s="180" t="s">
        <v>236</v>
      </c>
      <c r="D189" s="177">
        <v>41309.71</v>
      </c>
      <c r="E189" s="177">
        <v>234800.31</v>
      </c>
      <c r="F189" s="177">
        <f t="shared" si="7"/>
        <v>276110.02</v>
      </c>
    </row>
    <row r="190" spans="1:6">
      <c r="A190" s="178"/>
      <c r="B190" s="180" t="s">
        <v>241</v>
      </c>
      <c r="D190" s="177">
        <v>0</v>
      </c>
      <c r="E190" s="177">
        <v>0</v>
      </c>
      <c r="F190" s="177">
        <f t="shared" si="7"/>
        <v>0</v>
      </c>
    </row>
    <row r="191" spans="1:6">
      <c r="A191" s="178"/>
      <c r="B191" s="180" t="s">
        <v>234</v>
      </c>
      <c r="D191" s="177">
        <v>0</v>
      </c>
      <c r="E191" s="177">
        <v>0</v>
      </c>
      <c r="F191" s="177">
        <f t="shared" si="7"/>
        <v>0</v>
      </c>
    </row>
    <row r="192" spans="1:6">
      <c r="A192" s="178"/>
      <c r="B192" s="180" t="s">
        <v>235</v>
      </c>
      <c r="D192" s="177">
        <v>0</v>
      </c>
      <c r="E192" s="177">
        <v>0</v>
      </c>
      <c r="F192" s="177">
        <f t="shared" si="7"/>
        <v>0</v>
      </c>
    </row>
    <row r="193" spans="1:6">
      <c r="A193" s="178"/>
      <c r="B193" s="180" t="s">
        <v>232</v>
      </c>
      <c r="D193" s="177">
        <v>19911.95</v>
      </c>
      <c r="E193" s="177">
        <v>105901.32</v>
      </c>
      <c r="F193" s="177">
        <f t="shared" ref="F193:F255" si="23">SUM(D193:E193)</f>
        <v>125813.27</v>
      </c>
    </row>
    <row r="194" spans="1:6">
      <c r="A194" s="178"/>
      <c r="B194" s="180" t="s">
        <v>239</v>
      </c>
      <c r="D194" s="177">
        <v>69999.78</v>
      </c>
      <c r="E194" s="177">
        <v>357077.57</v>
      </c>
      <c r="F194" s="177">
        <f t="shared" si="23"/>
        <v>427077.35</v>
      </c>
    </row>
    <row r="195" spans="1:6">
      <c r="A195" s="178"/>
      <c r="B195" s="180" t="s">
        <v>229</v>
      </c>
      <c r="C195" s="107"/>
      <c r="D195" s="177">
        <v>37632.509999999995</v>
      </c>
      <c r="E195" s="177">
        <v>206363.59</v>
      </c>
      <c r="F195" s="177">
        <f t="shared" si="23"/>
        <v>243996.09999999998</v>
      </c>
    </row>
    <row r="196" spans="1:6">
      <c r="A196" s="178"/>
      <c r="B196" s="180" t="s">
        <v>240</v>
      </c>
      <c r="D196" s="177">
        <v>30063.95</v>
      </c>
      <c r="E196" s="177">
        <v>155502.58000000002</v>
      </c>
      <c r="F196" s="177">
        <f t="shared" si="23"/>
        <v>185566.53000000003</v>
      </c>
    </row>
    <row r="197" spans="1:6">
      <c r="A197" s="178" t="s">
        <v>263</v>
      </c>
      <c r="B197" s="180"/>
      <c r="D197" s="281">
        <f t="shared" ref="D197:F197" si="24">SUM(D198:D211)</f>
        <v>106391.07</v>
      </c>
      <c r="E197" s="281">
        <f t="shared" si="24"/>
        <v>0</v>
      </c>
      <c r="F197" s="281">
        <f t="shared" si="24"/>
        <v>106391.07</v>
      </c>
    </row>
    <row r="198" spans="1:6">
      <c r="A198" s="178"/>
      <c r="B198" s="180" t="s">
        <v>243</v>
      </c>
      <c r="D198" s="177">
        <v>0</v>
      </c>
      <c r="E198" s="177">
        <v>0</v>
      </c>
      <c r="F198" s="177">
        <f t="shared" si="23"/>
        <v>0</v>
      </c>
    </row>
    <row r="199" spans="1:6">
      <c r="A199" s="178"/>
      <c r="B199" s="180" t="s">
        <v>238</v>
      </c>
      <c r="D199" s="177">
        <v>0</v>
      </c>
      <c r="E199" s="177">
        <v>0</v>
      </c>
      <c r="F199" s="177">
        <f t="shared" si="23"/>
        <v>0</v>
      </c>
    </row>
    <row r="200" spans="1:6">
      <c r="A200" s="178"/>
      <c r="B200" s="180" t="s">
        <v>237</v>
      </c>
      <c r="D200" s="177">
        <v>0</v>
      </c>
      <c r="E200" s="177">
        <v>0</v>
      </c>
      <c r="F200" s="177">
        <f t="shared" si="23"/>
        <v>0</v>
      </c>
    </row>
    <row r="201" spans="1:6">
      <c r="A201" s="178"/>
      <c r="B201" s="180" t="s">
        <v>264</v>
      </c>
      <c r="D201" s="177">
        <v>654.15</v>
      </c>
      <c r="E201" s="177">
        <v>0</v>
      </c>
      <c r="F201" s="177">
        <f t="shared" si="23"/>
        <v>654.15</v>
      </c>
    </row>
    <row r="202" spans="1:6">
      <c r="A202" s="178"/>
      <c r="B202" s="180" t="s">
        <v>236</v>
      </c>
      <c r="D202" s="177">
        <v>57683.48</v>
      </c>
      <c r="E202" s="177">
        <v>0</v>
      </c>
      <c r="F202" s="177">
        <f t="shared" si="23"/>
        <v>57683.48</v>
      </c>
    </row>
    <row r="203" spans="1:6">
      <c r="A203" s="178"/>
      <c r="B203" s="180" t="s">
        <v>241</v>
      </c>
      <c r="D203" s="177">
        <v>0</v>
      </c>
      <c r="E203" s="177">
        <v>0</v>
      </c>
      <c r="F203" s="177">
        <f t="shared" si="23"/>
        <v>0</v>
      </c>
    </row>
    <row r="204" spans="1:6">
      <c r="A204" s="178"/>
      <c r="B204" s="180" t="s">
        <v>235</v>
      </c>
      <c r="D204" s="177">
        <v>0</v>
      </c>
      <c r="E204" s="177">
        <v>0</v>
      </c>
      <c r="F204" s="177">
        <f t="shared" si="23"/>
        <v>0</v>
      </c>
    </row>
    <row r="205" spans="1:6">
      <c r="A205" s="178"/>
      <c r="B205" s="180" t="s">
        <v>242</v>
      </c>
      <c r="D205" s="177">
        <v>0</v>
      </c>
      <c r="E205" s="177">
        <v>0</v>
      </c>
      <c r="F205" s="177">
        <f t="shared" si="23"/>
        <v>0</v>
      </c>
    </row>
    <row r="206" spans="1:6">
      <c r="A206" s="178"/>
      <c r="B206" s="180" t="s">
        <v>250</v>
      </c>
      <c r="D206" s="177">
        <v>0</v>
      </c>
      <c r="E206" s="177">
        <v>0</v>
      </c>
      <c r="F206" s="177">
        <f t="shared" si="23"/>
        <v>0</v>
      </c>
    </row>
    <row r="207" spans="1:6">
      <c r="A207" s="178"/>
      <c r="B207" s="180" t="s">
        <v>234</v>
      </c>
      <c r="D207" s="177">
        <v>0</v>
      </c>
      <c r="E207" s="177">
        <v>0</v>
      </c>
      <c r="F207" s="177">
        <f t="shared" si="23"/>
        <v>0</v>
      </c>
    </row>
    <row r="208" spans="1:6">
      <c r="A208" s="178"/>
      <c r="B208" s="180" t="s">
        <v>232</v>
      </c>
      <c r="D208" s="177">
        <v>4054.9399999999996</v>
      </c>
      <c r="E208" s="177">
        <v>0</v>
      </c>
      <c r="F208" s="177">
        <f t="shared" si="23"/>
        <v>4054.9399999999996</v>
      </c>
    </row>
    <row r="209" spans="1:6">
      <c r="A209" s="178"/>
      <c r="B209" s="180" t="s">
        <v>239</v>
      </c>
      <c r="C209" s="107"/>
      <c r="D209" s="177">
        <v>4687.83</v>
      </c>
      <c r="E209" s="177">
        <v>0</v>
      </c>
      <c r="F209" s="177">
        <f t="shared" si="23"/>
        <v>4687.83</v>
      </c>
    </row>
    <row r="210" spans="1:6">
      <c r="A210" s="178"/>
      <c r="B210" s="180" t="s">
        <v>229</v>
      </c>
      <c r="D210" s="177">
        <v>11469.710000000001</v>
      </c>
      <c r="E210" s="177">
        <v>0</v>
      </c>
      <c r="F210" s="177">
        <f t="shared" si="23"/>
        <v>11469.710000000001</v>
      </c>
    </row>
    <row r="211" spans="1:6">
      <c r="A211" s="178"/>
      <c r="B211" s="180" t="s">
        <v>240</v>
      </c>
      <c r="D211" s="177">
        <v>27840.959999999999</v>
      </c>
      <c r="E211" s="177">
        <v>0</v>
      </c>
      <c r="F211" s="177">
        <f t="shared" si="23"/>
        <v>27840.959999999999</v>
      </c>
    </row>
    <row r="212" spans="1:6">
      <c r="A212" s="178" t="s">
        <v>265</v>
      </c>
      <c r="B212" s="180"/>
      <c r="D212" s="281">
        <f t="shared" ref="D212:F212" si="25">SUM(D213:D227)</f>
        <v>5038155.49</v>
      </c>
      <c r="E212" s="281">
        <f t="shared" si="25"/>
        <v>0</v>
      </c>
      <c r="F212" s="281">
        <f t="shared" si="25"/>
        <v>5038155.49</v>
      </c>
    </row>
    <row r="213" spans="1:6">
      <c r="A213" s="178"/>
      <c r="B213" s="180" t="s">
        <v>243</v>
      </c>
      <c r="D213" s="177">
        <v>0</v>
      </c>
      <c r="E213" s="177">
        <v>0</v>
      </c>
      <c r="F213" s="177">
        <f t="shared" si="23"/>
        <v>0</v>
      </c>
    </row>
    <row r="214" spans="1:6">
      <c r="A214" s="178"/>
      <c r="B214" s="180" t="s">
        <v>238</v>
      </c>
      <c r="D214" s="177">
        <v>0</v>
      </c>
      <c r="E214" s="177">
        <v>0</v>
      </c>
      <c r="F214" s="177">
        <f t="shared" si="23"/>
        <v>0</v>
      </c>
    </row>
    <row r="215" spans="1:6">
      <c r="A215" s="178"/>
      <c r="B215" s="180" t="s">
        <v>590</v>
      </c>
      <c r="D215" s="177">
        <v>0</v>
      </c>
      <c r="E215" s="177">
        <v>0</v>
      </c>
      <c r="F215" s="177">
        <f t="shared" si="23"/>
        <v>0</v>
      </c>
    </row>
    <row r="216" spans="1:6">
      <c r="A216" s="178"/>
      <c r="B216" s="180" t="s">
        <v>237</v>
      </c>
      <c r="D216" s="177">
        <v>0</v>
      </c>
      <c r="E216" s="177">
        <v>0</v>
      </c>
      <c r="F216" s="177">
        <f t="shared" si="23"/>
        <v>0</v>
      </c>
    </row>
    <row r="217" spans="1:6">
      <c r="A217" s="178"/>
      <c r="B217" s="180" t="s">
        <v>264</v>
      </c>
      <c r="D217" s="177">
        <v>261524.18</v>
      </c>
      <c r="E217" s="177">
        <v>0</v>
      </c>
      <c r="F217" s="177">
        <f t="shared" si="23"/>
        <v>261524.18</v>
      </c>
    </row>
    <row r="218" spans="1:6">
      <c r="A218" s="178"/>
      <c r="B218" s="180" t="s">
        <v>236</v>
      </c>
      <c r="D218" s="177">
        <v>1067795.92</v>
      </c>
      <c r="E218" s="177">
        <v>0</v>
      </c>
      <c r="F218" s="177">
        <f t="shared" si="23"/>
        <v>1067795.92</v>
      </c>
    </row>
    <row r="219" spans="1:6">
      <c r="A219" s="178"/>
      <c r="B219" s="180" t="s">
        <v>241</v>
      </c>
      <c r="D219" s="177">
        <v>0</v>
      </c>
      <c r="E219" s="177">
        <v>0</v>
      </c>
      <c r="F219" s="177">
        <f t="shared" si="23"/>
        <v>0</v>
      </c>
    </row>
    <row r="220" spans="1:6">
      <c r="A220" s="178"/>
      <c r="B220" s="180" t="s">
        <v>235</v>
      </c>
      <c r="D220" s="177">
        <v>0</v>
      </c>
      <c r="E220" s="177">
        <v>0</v>
      </c>
      <c r="F220" s="177">
        <f t="shared" si="23"/>
        <v>0</v>
      </c>
    </row>
    <row r="221" spans="1:6">
      <c r="A221" s="178"/>
      <c r="B221" s="180" t="s">
        <v>250</v>
      </c>
      <c r="D221" s="177">
        <v>0</v>
      </c>
      <c r="E221" s="177">
        <v>0</v>
      </c>
      <c r="F221" s="177">
        <f t="shared" si="23"/>
        <v>0</v>
      </c>
    </row>
    <row r="222" spans="1:6">
      <c r="A222" s="178"/>
      <c r="B222" s="180" t="s">
        <v>242</v>
      </c>
      <c r="D222" s="177">
        <v>0</v>
      </c>
      <c r="E222" s="177">
        <v>0</v>
      </c>
      <c r="F222" s="177">
        <f t="shared" si="23"/>
        <v>0</v>
      </c>
    </row>
    <row r="223" spans="1:6">
      <c r="A223" s="178"/>
      <c r="B223" s="180" t="s">
        <v>234</v>
      </c>
      <c r="D223" s="177">
        <v>0</v>
      </c>
      <c r="E223" s="177">
        <v>0</v>
      </c>
      <c r="F223" s="177">
        <f t="shared" si="23"/>
        <v>0</v>
      </c>
    </row>
    <row r="224" spans="1:6">
      <c r="A224" s="178"/>
      <c r="B224" s="180" t="s">
        <v>232</v>
      </c>
      <c r="C224" s="107"/>
      <c r="D224" s="177">
        <v>94121.430000000008</v>
      </c>
      <c r="E224" s="177">
        <v>0</v>
      </c>
      <c r="F224" s="177">
        <f t="shared" si="23"/>
        <v>94121.430000000008</v>
      </c>
    </row>
    <row r="225" spans="1:6">
      <c r="A225" s="178"/>
      <c r="B225" s="180" t="s">
        <v>239</v>
      </c>
      <c r="D225" s="177">
        <v>1856776.82</v>
      </c>
      <c r="E225" s="177">
        <v>0</v>
      </c>
      <c r="F225" s="177">
        <f t="shared" si="23"/>
        <v>1856776.82</v>
      </c>
    </row>
    <row r="226" spans="1:6">
      <c r="A226" s="178"/>
      <c r="B226" s="180" t="s">
        <v>229</v>
      </c>
      <c r="C226" s="107"/>
      <c r="D226" s="177">
        <v>516955.77</v>
      </c>
      <c r="E226" s="177">
        <v>0</v>
      </c>
      <c r="F226" s="177">
        <f t="shared" si="23"/>
        <v>516955.77</v>
      </c>
    </row>
    <row r="227" spans="1:6">
      <c r="A227" s="178"/>
      <c r="B227" s="180" t="s">
        <v>240</v>
      </c>
      <c r="D227" s="177">
        <v>1240981.3700000001</v>
      </c>
      <c r="E227" s="177">
        <v>0</v>
      </c>
      <c r="F227" s="177">
        <f t="shared" si="23"/>
        <v>1240981.3700000001</v>
      </c>
    </row>
    <row r="228" spans="1:6">
      <c r="A228" s="178" t="s">
        <v>266</v>
      </c>
      <c r="B228" s="180"/>
      <c r="C228" s="107"/>
      <c r="D228" s="281">
        <f t="shared" ref="D228:F228" si="26">SUM(D229)</f>
        <v>193.29000000000002</v>
      </c>
      <c r="E228" s="281">
        <f t="shared" si="26"/>
        <v>958.68</v>
      </c>
      <c r="F228" s="281">
        <f t="shared" si="26"/>
        <v>1151.97</v>
      </c>
    </row>
    <row r="229" spans="1:6">
      <c r="A229" s="178"/>
      <c r="B229" s="180" t="s">
        <v>239</v>
      </c>
      <c r="D229" s="177">
        <v>193.29000000000002</v>
      </c>
      <c r="E229" s="177">
        <v>958.68</v>
      </c>
      <c r="F229" s="177">
        <f t="shared" si="23"/>
        <v>1151.97</v>
      </c>
    </row>
    <row r="230" spans="1:6">
      <c r="A230" s="178" t="s">
        <v>267</v>
      </c>
      <c r="B230" s="180"/>
      <c r="D230" s="281">
        <f t="shared" ref="D230:F230" si="27">SUM(D231:D241)</f>
        <v>751848.46000000008</v>
      </c>
      <c r="E230" s="281">
        <f t="shared" si="27"/>
        <v>0</v>
      </c>
      <c r="F230" s="281">
        <f t="shared" si="27"/>
        <v>751848.46000000008</v>
      </c>
    </row>
    <row r="231" spans="1:6">
      <c r="A231" s="178"/>
      <c r="B231" s="180" t="s">
        <v>243</v>
      </c>
      <c r="D231" s="177">
        <v>0</v>
      </c>
      <c r="E231" s="177">
        <v>0</v>
      </c>
      <c r="F231" s="177">
        <f t="shared" si="23"/>
        <v>0</v>
      </c>
    </row>
    <row r="232" spans="1:6">
      <c r="A232" s="178"/>
      <c r="B232" s="180" t="s">
        <v>238</v>
      </c>
      <c r="D232" s="177">
        <v>0</v>
      </c>
      <c r="E232" s="177">
        <v>0</v>
      </c>
      <c r="F232" s="177">
        <f t="shared" si="23"/>
        <v>0</v>
      </c>
    </row>
    <row r="233" spans="1:6">
      <c r="A233" s="178"/>
      <c r="B233" s="180" t="s">
        <v>237</v>
      </c>
      <c r="D233" s="177">
        <v>0</v>
      </c>
      <c r="E233" s="177">
        <v>0</v>
      </c>
      <c r="F233" s="177">
        <f t="shared" si="23"/>
        <v>0</v>
      </c>
    </row>
    <row r="234" spans="1:6">
      <c r="A234" s="178"/>
      <c r="B234" s="180" t="s">
        <v>236</v>
      </c>
      <c r="D234" s="177">
        <v>132114.29999999999</v>
      </c>
      <c r="E234" s="177">
        <v>0</v>
      </c>
      <c r="F234" s="177">
        <f t="shared" si="23"/>
        <v>132114.29999999999</v>
      </c>
    </row>
    <row r="235" spans="1:6">
      <c r="A235" s="178"/>
      <c r="B235" s="180" t="s">
        <v>241</v>
      </c>
      <c r="D235" s="177">
        <v>0</v>
      </c>
      <c r="E235" s="177">
        <v>0</v>
      </c>
      <c r="F235" s="177">
        <f t="shared" si="23"/>
        <v>0</v>
      </c>
    </row>
    <row r="236" spans="1:6">
      <c r="A236" s="178"/>
      <c r="B236" s="180" t="s">
        <v>235</v>
      </c>
      <c r="D236" s="177">
        <v>0</v>
      </c>
      <c r="E236" s="177">
        <v>0</v>
      </c>
      <c r="F236" s="177">
        <f t="shared" si="23"/>
        <v>0</v>
      </c>
    </row>
    <row r="237" spans="1:6">
      <c r="A237" s="178"/>
      <c r="B237" s="180" t="s">
        <v>234</v>
      </c>
      <c r="D237" s="177">
        <v>0</v>
      </c>
      <c r="E237" s="177">
        <v>0</v>
      </c>
      <c r="F237" s="177">
        <f t="shared" si="23"/>
        <v>0</v>
      </c>
    </row>
    <row r="238" spans="1:6">
      <c r="A238" s="178"/>
      <c r="B238" s="180" t="s">
        <v>232</v>
      </c>
      <c r="D238" s="177">
        <v>137735.01</v>
      </c>
      <c r="E238" s="177">
        <v>0</v>
      </c>
      <c r="F238" s="177">
        <f t="shared" si="23"/>
        <v>137735.01</v>
      </c>
    </row>
    <row r="239" spans="1:6">
      <c r="A239" s="178"/>
      <c r="B239" s="180" t="s">
        <v>239</v>
      </c>
      <c r="D239" s="177">
        <v>186065.93</v>
      </c>
      <c r="E239" s="177">
        <v>0</v>
      </c>
      <c r="F239" s="177">
        <f t="shared" si="23"/>
        <v>186065.93</v>
      </c>
    </row>
    <row r="240" spans="1:6">
      <c r="A240" s="178"/>
      <c r="B240" s="180" t="s">
        <v>229</v>
      </c>
      <c r="D240" s="177">
        <v>205342.82</v>
      </c>
      <c r="E240" s="177">
        <v>0</v>
      </c>
      <c r="F240" s="177">
        <f t="shared" si="23"/>
        <v>205342.82</v>
      </c>
    </row>
    <row r="241" spans="1:6">
      <c r="A241" s="178"/>
      <c r="B241" s="180" t="s">
        <v>240</v>
      </c>
      <c r="D241" s="177">
        <v>90590.399999999994</v>
      </c>
      <c r="E241" s="177">
        <v>0</v>
      </c>
      <c r="F241" s="177">
        <f t="shared" si="23"/>
        <v>90590.399999999994</v>
      </c>
    </row>
    <row r="242" spans="1:6">
      <c r="A242" s="178" t="s">
        <v>268</v>
      </c>
      <c r="B242" s="180"/>
      <c r="C242" s="107"/>
      <c r="D242" s="281">
        <f t="shared" ref="D242:F242" si="28">SUM(D243:D248)</f>
        <v>396.94000000000005</v>
      </c>
      <c r="E242" s="281">
        <f t="shared" si="28"/>
        <v>2327.9700000000003</v>
      </c>
      <c r="F242" s="281">
        <f t="shared" si="28"/>
        <v>2724.91</v>
      </c>
    </row>
    <row r="243" spans="1:6">
      <c r="A243" s="178"/>
      <c r="B243" s="180" t="s">
        <v>238</v>
      </c>
      <c r="D243" s="177">
        <v>0</v>
      </c>
      <c r="E243" s="177">
        <v>0</v>
      </c>
      <c r="F243" s="177">
        <f t="shared" si="23"/>
        <v>0</v>
      </c>
    </row>
    <row r="244" spans="1:6">
      <c r="A244" s="178"/>
      <c r="B244" s="180" t="s">
        <v>237</v>
      </c>
      <c r="D244" s="177">
        <v>0</v>
      </c>
      <c r="E244" s="177">
        <v>0</v>
      </c>
      <c r="F244" s="177">
        <f t="shared" si="23"/>
        <v>0</v>
      </c>
    </row>
    <row r="245" spans="1:6">
      <c r="A245" s="178"/>
      <c r="B245" s="180" t="s">
        <v>236</v>
      </c>
      <c r="D245" s="177">
        <v>176.81</v>
      </c>
      <c r="E245" s="177">
        <v>854.94</v>
      </c>
      <c r="F245" s="177">
        <f t="shared" si="23"/>
        <v>1031.75</v>
      </c>
    </row>
    <row r="246" spans="1:6">
      <c r="A246" s="178"/>
      <c r="B246" s="180" t="s">
        <v>234</v>
      </c>
      <c r="D246" s="177">
        <v>0</v>
      </c>
      <c r="E246" s="177">
        <v>0</v>
      </c>
      <c r="F246" s="177">
        <f t="shared" si="23"/>
        <v>0</v>
      </c>
    </row>
    <row r="247" spans="1:6">
      <c r="A247" s="178"/>
      <c r="B247" s="180" t="s">
        <v>229</v>
      </c>
      <c r="D247" s="177">
        <v>55.44</v>
      </c>
      <c r="E247" s="177">
        <v>453.91</v>
      </c>
      <c r="F247" s="177">
        <f t="shared" si="23"/>
        <v>509.35</v>
      </c>
    </row>
    <row r="248" spans="1:6">
      <c r="A248" s="178"/>
      <c r="B248" s="180" t="s">
        <v>240</v>
      </c>
      <c r="C248" s="107"/>
      <c r="D248" s="177">
        <v>164.69000000000003</v>
      </c>
      <c r="E248" s="177">
        <v>1019.12</v>
      </c>
      <c r="F248" s="177">
        <f t="shared" si="23"/>
        <v>1183.81</v>
      </c>
    </row>
    <row r="249" spans="1:6">
      <c r="A249" s="178" t="s">
        <v>269</v>
      </c>
      <c r="B249" s="180"/>
      <c r="D249" s="281">
        <f t="shared" ref="D249:F249" si="29">SUM(D250)</f>
        <v>3726.34</v>
      </c>
      <c r="E249" s="281">
        <f t="shared" si="29"/>
        <v>0</v>
      </c>
      <c r="F249" s="281">
        <f t="shared" si="29"/>
        <v>3726.34</v>
      </c>
    </row>
    <row r="250" spans="1:6">
      <c r="A250" s="178"/>
      <c r="B250" s="180" t="s">
        <v>236</v>
      </c>
      <c r="D250" s="177">
        <v>3726.34</v>
      </c>
      <c r="E250" s="177">
        <v>0</v>
      </c>
      <c r="F250" s="177">
        <f t="shared" si="23"/>
        <v>3726.34</v>
      </c>
    </row>
    <row r="251" spans="1:6">
      <c r="A251" s="178" t="s">
        <v>270</v>
      </c>
      <c r="B251" s="180"/>
      <c r="C251" s="107"/>
      <c r="D251" s="281">
        <f t="shared" ref="D251:F251" si="30">SUM(D252:D255)</f>
        <v>3194.3199999999997</v>
      </c>
      <c r="E251" s="281">
        <f t="shared" si="30"/>
        <v>0</v>
      </c>
      <c r="F251" s="281">
        <f t="shared" si="30"/>
        <v>3194.3199999999997</v>
      </c>
    </row>
    <row r="252" spans="1:6">
      <c r="A252" s="178"/>
      <c r="B252" s="180" t="s">
        <v>238</v>
      </c>
      <c r="D252" s="177">
        <v>0</v>
      </c>
      <c r="E252" s="177">
        <v>0</v>
      </c>
      <c r="F252" s="177">
        <f t="shared" si="23"/>
        <v>0</v>
      </c>
    </row>
    <row r="253" spans="1:6">
      <c r="A253" s="178"/>
      <c r="B253" s="180" t="s">
        <v>234</v>
      </c>
      <c r="C253" s="107"/>
      <c r="D253" s="177">
        <v>0</v>
      </c>
      <c r="E253" s="177">
        <v>0</v>
      </c>
      <c r="F253" s="177">
        <f t="shared" si="23"/>
        <v>0</v>
      </c>
    </row>
    <row r="254" spans="1:6">
      <c r="A254" s="178"/>
      <c r="B254" s="180" t="s">
        <v>239</v>
      </c>
      <c r="D254" s="177">
        <v>3146.7799999999997</v>
      </c>
      <c r="E254" s="177">
        <v>0</v>
      </c>
      <c r="F254" s="177">
        <f t="shared" si="23"/>
        <v>3146.7799999999997</v>
      </c>
    </row>
    <row r="255" spans="1:6">
      <c r="A255" s="178"/>
      <c r="B255" s="180" t="s">
        <v>240</v>
      </c>
      <c r="C255" s="107"/>
      <c r="D255" s="177">
        <v>47.54</v>
      </c>
      <c r="E255" s="177">
        <v>0</v>
      </c>
      <c r="F255" s="177">
        <f t="shared" si="23"/>
        <v>47.54</v>
      </c>
    </row>
    <row r="256" spans="1:6">
      <c r="A256" s="178" t="s">
        <v>271</v>
      </c>
      <c r="B256" s="180"/>
      <c r="D256" s="281">
        <f t="shared" ref="D256:F256" si="31">SUM(D257:D258)</f>
        <v>1868.29</v>
      </c>
      <c r="E256" s="281">
        <f t="shared" si="31"/>
        <v>9376.33</v>
      </c>
      <c r="F256" s="281">
        <f t="shared" si="31"/>
        <v>11244.619999999999</v>
      </c>
    </row>
    <row r="257" spans="1:6">
      <c r="A257" s="178"/>
      <c r="B257" s="180" t="s">
        <v>232</v>
      </c>
      <c r="D257" s="177">
        <v>1811.22</v>
      </c>
      <c r="E257" s="177">
        <v>9420.7199999999993</v>
      </c>
      <c r="F257" s="177">
        <f t="shared" ref="F257:F268" si="32">SUM(D257:E257)</f>
        <v>11231.939999999999</v>
      </c>
    </row>
    <row r="258" spans="1:6">
      <c r="A258" s="178"/>
      <c r="B258" s="180" t="s">
        <v>229</v>
      </c>
      <c r="D258" s="177">
        <v>57.07</v>
      </c>
      <c r="E258" s="177">
        <v>-44.389999999999986</v>
      </c>
      <c r="F258" s="177">
        <f t="shared" si="32"/>
        <v>12.680000000000014</v>
      </c>
    </row>
    <row r="259" spans="1:6">
      <c r="A259" s="178" t="s">
        <v>596</v>
      </c>
      <c r="B259" s="180"/>
      <c r="C259" s="107"/>
      <c r="D259" s="281">
        <f t="shared" ref="D259:F259" si="33">SUM(D260)</f>
        <v>178.9</v>
      </c>
      <c r="E259" s="281">
        <f t="shared" si="33"/>
        <v>0</v>
      </c>
      <c r="F259" s="281">
        <f t="shared" si="33"/>
        <v>178.9</v>
      </c>
    </row>
    <row r="260" spans="1:6">
      <c r="A260" s="178"/>
      <c r="B260" s="180" t="s">
        <v>240</v>
      </c>
      <c r="C260" s="107"/>
      <c r="D260" s="177">
        <v>178.9</v>
      </c>
      <c r="E260" s="177">
        <v>0</v>
      </c>
      <c r="F260" s="177">
        <f t="shared" si="32"/>
        <v>178.9</v>
      </c>
    </row>
    <row r="261" spans="1:6">
      <c r="A261" s="178" t="s">
        <v>272</v>
      </c>
      <c r="B261" s="180"/>
      <c r="D261" s="281">
        <f t="shared" ref="D261:F261" si="34">SUM(D262:D268)</f>
        <v>2605.5899999999997</v>
      </c>
      <c r="E261" s="281">
        <f t="shared" si="34"/>
        <v>921.15</v>
      </c>
      <c r="F261" s="281">
        <f t="shared" si="34"/>
        <v>3526.74</v>
      </c>
    </row>
    <row r="262" spans="1:6">
      <c r="A262" s="178"/>
      <c r="B262" s="180" t="s">
        <v>243</v>
      </c>
      <c r="D262" s="177">
        <v>0</v>
      </c>
      <c r="E262" s="177">
        <v>0</v>
      </c>
      <c r="F262" s="177">
        <f t="shared" si="32"/>
        <v>0</v>
      </c>
    </row>
    <row r="263" spans="1:6">
      <c r="A263" s="178"/>
      <c r="B263" s="180" t="s">
        <v>590</v>
      </c>
      <c r="D263" s="177">
        <v>0</v>
      </c>
      <c r="E263" s="177">
        <v>0</v>
      </c>
      <c r="F263" s="177">
        <f t="shared" si="32"/>
        <v>0</v>
      </c>
    </row>
    <row r="264" spans="1:6">
      <c r="A264" s="178"/>
      <c r="B264" s="180" t="s">
        <v>264</v>
      </c>
      <c r="D264" s="177">
        <v>2424.4899999999998</v>
      </c>
      <c r="E264" s="177">
        <v>0</v>
      </c>
      <c r="F264" s="177">
        <f t="shared" si="32"/>
        <v>2424.4899999999998</v>
      </c>
    </row>
    <row r="265" spans="1:6">
      <c r="A265" s="178"/>
      <c r="B265" s="180" t="s">
        <v>242</v>
      </c>
      <c r="D265" s="177">
        <v>0</v>
      </c>
      <c r="E265" s="177">
        <v>0</v>
      </c>
      <c r="F265" s="177">
        <f t="shared" si="32"/>
        <v>0</v>
      </c>
    </row>
    <row r="266" spans="1:6">
      <c r="A266" s="178"/>
      <c r="B266" s="180" t="s">
        <v>241</v>
      </c>
      <c r="D266" s="177">
        <v>0</v>
      </c>
      <c r="E266" s="177">
        <v>0</v>
      </c>
      <c r="F266" s="177">
        <f t="shared" si="32"/>
        <v>0</v>
      </c>
    </row>
    <row r="267" spans="1:6">
      <c r="A267" s="178"/>
      <c r="B267" s="180" t="s">
        <v>250</v>
      </c>
      <c r="D267" s="177">
        <v>0</v>
      </c>
      <c r="E267" s="177">
        <v>0</v>
      </c>
      <c r="F267" s="177">
        <f t="shared" si="32"/>
        <v>0</v>
      </c>
    </row>
    <row r="268" spans="1:6">
      <c r="A268" s="178"/>
      <c r="B268" s="180" t="s">
        <v>232</v>
      </c>
      <c r="D268" s="177">
        <v>181.1</v>
      </c>
      <c r="E268" s="177">
        <v>921.15</v>
      </c>
      <c r="F268" s="177">
        <f t="shared" si="32"/>
        <v>1102.25</v>
      </c>
    </row>
    <row r="269" spans="1:6">
      <c r="A269" s="181" t="s">
        <v>273</v>
      </c>
      <c r="B269" s="180"/>
      <c r="D269" s="281">
        <f>D261+D259+D256+D251+D249+D242+D230+D228+D212+D197+D186+D184+D182+D180+D175+D178+D167+D164+D161+D157+D151+D141+D139+D135+D132+D128+D123+D117+D110+D108+D106+D104+D101+D99+D97+D84+D74+D72+D69+D67</f>
        <v>7220890.6900000013</v>
      </c>
      <c r="E269" s="281">
        <f t="shared" ref="E269:F269" si="35">E261+E259+E256+E251+E249+E242+E230+E228+E212+E197+E186+E184+E182+E180+E175+E178+E167+E164+E161+E157+E151+E141+E139+E135+E132+E128+E123+E117+E110+E108+E106+E104+E101+E99+E97+E84+E74+E72+E69+E67</f>
        <v>1431639.38</v>
      </c>
      <c r="F269" s="281">
        <f t="shared" si="35"/>
        <v>8652530.0700000003</v>
      </c>
    </row>
  </sheetData>
  <mergeCells count="6">
    <mergeCell ref="D9:F9"/>
    <mergeCell ref="A3:F3"/>
    <mergeCell ref="A4:F4"/>
    <mergeCell ref="A5:F5"/>
    <mergeCell ref="A6:F6"/>
    <mergeCell ref="A7:F7"/>
  </mergeCells>
  <printOptions horizontalCentered="1"/>
  <pageMargins left="0.7" right="0.7" top="0.75" bottom="0.75" header="0.3" footer="0.3"/>
  <pageSetup scale="62" fitToHeight="3" orientation="portrait"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15"/>
  <sheetViews>
    <sheetView workbookViewId="0">
      <selection activeCell="A5" sqref="A1:A1048576"/>
    </sheetView>
  </sheetViews>
  <sheetFormatPr defaultColWidth="9.109375" defaultRowHeight="13.2"/>
  <cols>
    <col min="1" max="1" width="3.44140625" style="186" customWidth="1"/>
    <col min="2" max="2" width="28.5546875" style="186" bestFit="1" customWidth="1"/>
    <col min="3" max="3" width="8.5546875" style="186" customWidth="1"/>
    <col min="4" max="4" width="1.88671875" style="186" customWidth="1"/>
    <col min="5" max="9" width="8.6640625" style="186" customWidth="1"/>
    <col min="10" max="10" width="7.6640625" style="186" bestFit="1" customWidth="1"/>
    <col min="11" max="11" width="9.109375" style="186"/>
    <col min="12" max="12" width="11.44140625" style="186" customWidth="1"/>
    <col min="13" max="13" width="15.109375" style="186" customWidth="1"/>
    <col min="14" max="14" width="14.44140625" style="186" customWidth="1"/>
    <col min="15" max="15" width="11.6640625" style="186" customWidth="1"/>
    <col min="16" max="16" width="11.5546875" style="186" customWidth="1"/>
    <col min="17" max="16384" width="9.109375" style="186"/>
  </cols>
  <sheetData>
    <row r="1" spans="1:10">
      <c r="A1" s="486" t="s">
        <v>0</v>
      </c>
      <c r="B1" s="486"/>
      <c r="C1" s="486"/>
      <c r="D1" s="486"/>
      <c r="E1" s="486"/>
      <c r="F1" s="486"/>
      <c r="G1" s="486"/>
      <c r="H1" s="486"/>
      <c r="I1" s="486"/>
      <c r="J1" s="486"/>
    </row>
    <row r="2" spans="1:10">
      <c r="A2" s="486" t="s">
        <v>274</v>
      </c>
      <c r="B2" s="486"/>
      <c r="C2" s="486"/>
      <c r="D2" s="486"/>
      <c r="E2" s="486"/>
      <c r="F2" s="486"/>
      <c r="G2" s="486"/>
      <c r="H2" s="486"/>
      <c r="I2" s="486"/>
      <c r="J2" s="486"/>
    </row>
    <row r="3" spans="1:10">
      <c r="A3" s="452" t="s">
        <v>688</v>
      </c>
      <c r="B3" s="452"/>
      <c r="C3" s="452"/>
      <c r="D3" s="452"/>
      <c r="E3" s="452"/>
      <c r="F3" s="452"/>
      <c r="G3" s="452"/>
      <c r="H3" s="452"/>
      <c r="I3" s="452"/>
      <c r="J3" s="452"/>
    </row>
    <row r="4" spans="1:10">
      <c r="A4" s="487" t="s">
        <v>660</v>
      </c>
      <c r="B4" s="487"/>
      <c r="C4" s="487"/>
      <c r="D4" s="487"/>
      <c r="E4" s="487"/>
      <c r="F4" s="487"/>
      <c r="G4" s="487"/>
      <c r="H4" s="487"/>
      <c r="I4" s="487"/>
      <c r="J4" s="487"/>
    </row>
    <row r="5" spans="1:10">
      <c r="A5" s="259"/>
      <c r="B5" s="259"/>
      <c r="C5" s="259"/>
      <c r="D5" s="259"/>
      <c r="E5" s="256"/>
      <c r="F5" s="257"/>
      <c r="G5" s="256"/>
      <c r="H5" s="256"/>
    </row>
    <row r="6" spans="1:10">
      <c r="A6" s="494"/>
      <c r="B6" s="466"/>
      <c r="C6" s="466"/>
      <c r="D6" s="466"/>
      <c r="E6" s="466"/>
      <c r="F6" s="466"/>
      <c r="G6" s="466"/>
      <c r="H6" s="466"/>
      <c r="I6" s="466"/>
      <c r="J6" s="466"/>
    </row>
    <row r="7" spans="1:10">
      <c r="E7" s="256"/>
      <c r="F7" s="257"/>
      <c r="G7" s="256"/>
      <c r="H7" s="256"/>
    </row>
    <row r="9" spans="1:10">
      <c r="C9" s="293" t="s">
        <v>33</v>
      </c>
      <c r="D9" s="290"/>
      <c r="E9" s="294" t="s">
        <v>34</v>
      </c>
      <c r="F9" s="295" t="s">
        <v>35</v>
      </c>
      <c r="G9" s="295" t="s">
        <v>25</v>
      </c>
      <c r="H9" s="295" t="s">
        <v>36</v>
      </c>
      <c r="I9" s="296" t="s">
        <v>37</v>
      </c>
      <c r="J9" s="260" t="s">
        <v>45</v>
      </c>
    </row>
    <row r="10" spans="1:10">
      <c r="B10" s="187" t="s">
        <v>696</v>
      </c>
      <c r="C10" s="188">
        <v>1</v>
      </c>
      <c r="D10" s="188"/>
      <c r="E10" s="188">
        <v>0.22399814780642607</v>
      </c>
      <c r="F10" s="188">
        <v>0.34104682001762004</v>
      </c>
      <c r="G10" s="188">
        <v>0.17102448296271053</v>
      </c>
      <c r="H10" s="188">
        <v>5.7247541013938093E-2</v>
      </c>
      <c r="I10" s="188">
        <v>0.20668300819930527</v>
      </c>
      <c r="J10" s="188">
        <v>1</v>
      </c>
    </row>
    <row r="11" spans="1:10">
      <c r="B11" s="189" t="s">
        <v>199</v>
      </c>
      <c r="C11" s="188"/>
      <c r="D11" s="188"/>
      <c r="E11" s="188"/>
      <c r="F11" s="188"/>
      <c r="G11" s="188"/>
      <c r="H11" s="188"/>
      <c r="I11" s="188"/>
      <c r="J11" s="188"/>
    </row>
    <row r="12" spans="1:10">
      <c r="B12" s="190" t="s">
        <v>644</v>
      </c>
      <c r="C12" s="191">
        <v>10565.58</v>
      </c>
      <c r="D12" s="191"/>
      <c r="E12" s="192"/>
      <c r="F12" s="192"/>
      <c r="G12" s="192"/>
      <c r="H12" s="192"/>
      <c r="I12" s="192"/>
      <c r="J12" s="192">
        <v>10565.58</v>
      </c>
    </row>
    <row r="13" spans="1:10">
      <c r="B13" s="193" t="s">
        <v>645</v>
      </c>
      <c r="C13" s="276"/>
      <c r="D13" s="276"/>
      <c r="E13" s="289">
        <v>5707.1368088860263</v>
      </c>
      <c r="F13" s="289">
        <v>8689.3614038189316</v>
      </c>
      <c r="G13" s="289">
        <v>4357.4472891654195</v>
      </c>
      <c r="H13" s="289">
        <v>1458.5814737236215</v>
      </c>
      <c r="I13" s="289">
        <v>5265.9730244059983</v>
      </c>
      <c r="J13" s="276">
        <v>25478.499999999996</v>
      </c>
    </row>
    <row r="14" spans="1:10" ht="13.8" thickBot="1">
      <c r="B14" s="186" t="s">
        <v>45</v>
      </c>
      <c r="C14" s="291">
        <v>10565.58</v>
      </c>
      <c r="D14" s="276"/>
      <c r="E14" s="291">
        <v>5707.1368088860263</v>
      </c>
      <c r="F14" s="291">
        <v>8689.3614038189316</v>
      </c>
      <c r="G14" s="292">
        <v>4357.4472891654195</v>
      </c>
      <c r="H14" s="291">
        <v>1458.5814737236215</v>
      </c>
      <c r="I14" s="291">
        <v>5265.9730244059983</v>
      </c>
      <c r="J14" s="291">
        <v>36044.079999999994</v>
      </c>
    </row>
    <row r="15" spans="1:10" ht="13.8" thickTop="1"/>
  </sheetData>
  <mergeCells count="5">
    <mergeCell ref="A6:J6"/>
    <mergeCell ref="A1:J1"/>
    <mergeCell ref="A2:J2"/>
    <mergeCell ref="A3:J3"/>
    <mergeCell ref="A4:J4"/>
  </mergeCells>
  <pageMargins left="0.45" right="0.45" top="0.75" bottom="0.75" header="0.3" footer="0.3"/>
  <pageSetup orientation="portrait"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2"/>
  <sheetViews>
    <sheetView workbookViewId="0">
      <selection activeCell="B22" sqref="B22"/>
    </sheetView>
  </sheetViews>
  <sheetFormatPr defaultColWidth="9.109375" defaultRowHeight="13.2"/>
  <cols>
    <col min="1" max="1" width="13.88671875" style="26" customWidth="1"/>
    <col min="2" max="2" width="17.44140625" style="26" bestFit="1" customWidth="1"/>
    <col min="3" max="3" width="15.88671875" style="26" customWidth="1"/>
    <col min="4" max="4" width="28.109375" style="26" customWidth="1"/>
    <col min="5" max="5" width="15" style="26" bestFit="1" customWidth="1"/>
    <col min="6" max="16384" width="9.109375" style="26"/>
  </cols>
  <sheetData>
    <row r="1" spans="1:5">
      <c r="A1" s="96"/>
      <c r="E1" s="113"/>
    </row>
    <row r="3" spans="1:5">
      <c r="A3" s="447" t="s">
        <v>0</v>
      </c>
      <c r="B3" s="447"/>
      <c r="C3" s="447"/>
      <c r="D3" s="447"/>
      <c r="E3" s="447"/>
    </row>
    <row r="4" spans="1:5">
      <c r="A4" s="447" t="s">
        <v>57</v>
      </c>
      <c r="B4" s="447"/>
      <c r="C4" s="447"/>
      <c r="D4" s="447"/>
      <c r="E4" s="447"/>
    </row>
    <row r="5" spans="1:5">
      <c r="A5" s="448" t="s">
        <v>660</v>
      </c>
      <c r="B5" s="447"/>
      <c r="C5" s="447"/>
      <c r="D5" s="447"/>
      <c r="E5" s="447"/>
    </row>
    <row r="6" spans="1:5" s="27" customFormat="1"/>
    <row r="7" spans="1:5" s="27" customFormat="1">
      <c r="A7" s="27" t="s">
        <v>58</v>
      </c>
      <c r="B7" s="27" t="s">
        <v>59</v>
      </c>
      <c r="C7" s="27" t="s">
        <v>60</v>
      </c>
      <c r="D7" s="27" t="s">
        <v>61</v>
      </c>
      <c r="E7" s="161" t="s">
        <v>584</v>
      </c>
    </row>
    <row r="8" spans="1:5">
      <c r="A8" s="26" t="s">
        <v>62</v>
      </c>
      <c r="B8" s="26" t="s">
        <v>63</v>
      </c>
      <c r="C8" s="26" t="s">
        <v>64</v>
      </c>
      <c r="D8" s="26" t="s">
        <v>65</v>
      </c>
      <c r="E8" s="29">
        <v>9733627.0399999991</v>
      </c>
    </row>
    <row r="9" spans="1:5">
      <c r="C9" s="26" t="s">
        <v>66</v>
      </c>
      <c r="D9" s="26" t="s">
        <v>67</v>
      </c>
      <c r="E9" s="29">
        <v>1796289.75</v>
      </c>
    </row>
    <row r="10" spans="1:5">
      <c r="C10" s="26" t="s">
        <v>68</v>
      </c>
      <c r="D10" s="26" t="s">
        <v>65</v>
      </c>
      <c r="E10" s="29">
        <v>-35385598.07</v>
      </c>
    </row>
    <row r="11" spans="1:5">
      <c r="C11" s="26" t="s">
        <v>69</v>
      </c>
      <c r="D11" s="26" t="s">
        <v>67</v>
      </c>
      <c r="E11" s="29">
        <v>-6184099.5999999996</v>
      </c>
    </row>
    <row r="12" spans="1:5">
      <c r="C12" s="26" t="s">
        <v>70</v>
      </c>
      <c r="D12" s="26" t="s">
        <v>65</v>
      </c>
      <c r="E12" s="29">
        <v>-13909176.76</v>
      </c>
    </row>
    <row r="13" spans="1:5">
      <c r="B13" s="232"/>
      <c r="C13" s="232" t="s">
        <v>71</v>
      </c>
      <c r="D13" s="232" t="s">
        <v>67</v>
      </c>
      <c r="E13" s="234">
        <v>-2091592.81</v>
      </c>
    </row>
    <row r="14" spans="1:5">
      <c r="B14" s="365" t="s">
        <v>72</v>
      </c>
      <c r="C14" s="365"/>
      <c r="D14" s="365"/>
      <c r="E14" s="366">
        <f>SUM(E8:E13)</f>
        <v>-46040550.450000003</v>
      </c>
    </row>
    <row r="15" spans="1:5">
      <c r="B15" s="232" t="s">
        <v>73</v>
      </c>
      <c r="C15" s="232" t="s">
        <v>74</v>
      </c>
      <c r="D15" s="232" t="s">
        <v>75</v>
      </c>
      <c r="E15" s="233">
        <v>57570447.240000002</v>
      </c>
    </row>
    <row r="16" spans="1:5">
      <c r="B16" s="232"/>
      <c r="C16" s="232" t="s">
        <v>76</v>
      </c>
      <c r="D16" s="232" t="s">
        <v>77</v>
      </c>
      <c r="E16" s="234">
        <v>-11529916.789999999</v>
      </c>
    </row>
    <row r="17" spans="2:5">
      <c r="B17" s="365" t="s">
        <v>78</v>
      </c>
      <c r="C17" s="365"/>
      <c r="D17" s="365"/>
      <c r="E17" s="366">
        <f>E15+E16</f>
        <v>46040530.450000003</v>
      </c>
    </row>
    <row r="18" spans="2:5">
      <c r="E18" s="29"/>
    </row>
    <row r="19" spans="2:5">
      <c r="D19" s="28" t="s">
        <v>79</v>
      </c>
      <c r="E19" s="30">
        <f>E8+E9</f>
        <v>11529916.789999999</v>
      </c>
    </row>
    <row r="20" spans="2:5">
      <c r="D20" s="28" t="s">
        <v>80</v>
      </c>
      <c r="E20" s="30">
        <f>E10+E11</f>
        <v>-41569697.670000002</v>
      </c>
    </row>
    <row r="21" spans="2:5">
      <c r="D21" s="28" t="s">
        <v>81</v>
      </c>
      <c r="E21" s="30">
        <f>E12+E13</f>
        <v>-16000769.57</v>
      </c>
    </row>
    <row r="22" spans="2:5">
      <c r="E22" s="29"/>
    </row>
  </sheetData>
  <mergeCells count="3">
    <mergeCell ref="A3:E3"/>
    <mergeCell ref="A4:E4"/>
    <mergeCell ref="A5:E5"/>
  </mergeCells>
  <phoneticPr fontId="36" type="noConversion"/>
  <pageMargins left="0.7" right="0.7" top="0.75" bottom="0.75" header="0.3" footer="0.3"/>
  <pageSetup orientation="portrait"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9"/>
  <sheetViews>
    <sheetView workbookViewId="0"/>
  </sheetViews>
  <sheetFormatPr defaultColWidth="9.109375" defaultRowHeight="13.2"/>
  <cols>
    <col min="1" max="1" width="20.109375" style="13" customWidth="1"/>
    <col min="2" max="2" width="12.88671875" style="13" bestFit="1" customWidth="1"/>
    <col min="3" max="3" width="11.33203125" style="13" bestFit="1" customWidth="1"/>
    <col min="4" max="4" width="12.88671875" style="13" bestFit="1" customWidth="1"/>
    <col min="5" max="5" width="11.33203125" style="13" bestFit="1" customWidth="1"/>
    <col min="6" max="6" width="4.88671875" style="13" bestFit="1" customWidth="1"/>
    <col min="7" max="7" width="14" style="13" bestFit="1" customWidth="1"/>
    <col min="8" max="8" width="3.109375" style="13" bestFit="1" customWidth="1"/>
    <col min="9" max="16384" width="9.109375" style="13"/>
  </cols>
  <sheetData>
    <row r="1" spans="1:8">
      <c r="A1" s="96"/>
      <c r="G1" s="113"/>
    </row>
    <row r="3" spans="1:8">
      <c r="A3" s="449" t="s">
        <v>31</v>
      </c>
      <c r="B3" s="449"/>
      <c r="C3" s="449"/>
      <c r="D3" s="449"/>
      <c r="E3" s="449"/>
      <c r="F3" s="449"/>
      <c r="G3" s="449"/>
      <c r="H3" s="12"/>
    </row>
    <row r="4" spans="1:8">
      <c r="A4" s="449" t="s">
        <v>32</v>
      </c>
      <c r="B4" s="449"/>
      <c r="C4" s="449"/>
      <c r="D4" s="449"/>
      <c r="E4" s="449"/>
      <c r="F4" s="449"/>
      <c r="G4" s="449"/>
      <c r="H4" s="12"/>
    </row>
    <row r="5" spans="1:8">
      <c r="A5" s="450">
        <v>41639</v>
      </c>
      <c r="B5" s="450"/>
      <c r="C5" s="450"/>
      <c r="D5" s="450"/>
      <c r="E5" s="450"/>
      <c r="F5" s="450"/>
      <c r="G5" s="450"/>
      <c r="H5" s="12"/>
    </row>
    <row r="6" spans="1:8">
      <c r="A6" s="12"/>
      <c r="B6" s="12"/>
      <c r="C6" s="12"/>
      <c r="D6" s="12"/>
      <c r="E6" s="12"/>
      <c r="F6" s="12"/>
      <c r="G6" s="12"/>
      <c r="H6" s="12"/>
    </row>
    <row r="7" spans="1:8" ht="13.8" thickBot="1">
      <c r="A7" s="12"/>
      <c r="B7" s="12"/>
      <c r="C7" s="12"/>
      <c r="D7" s="12"/>
      <c r="E7" s="12"/>
      <c r="F7" s="12"/>
      <c r="G7" s="12"/>
      <c r="H7" s="12"/>
    </row>
    <row r="8" spans="1:8">
      <c r="A8" s="12"/>
      <c r="B8" s="14" t="s">
        <v>33</v>
      </c>
      <c r="C8" s="14" t="s">
        <v>34</v>
      </c>
      <c r="D8" s="14" t="s">
        <v>35</v>
      </c>
      <c r="E8" s="15" t="s">
        <v>25</v>
      </c>
      <c r="F8" s="14" t="s">
        <v>36</v>
      </c>
      <c r="G8" s="14" t="s">
        <v>37</v>
      </c>
      <c r="H8" s="12"/>
    </row>
    <row r="9" spans="1:8">
      <c r="A9" s="16" t="s">
        <v>38</v>
      </c>
      <c r="B9" s="81">
        <v>56045.95</v>
      </c>
      <c r="C9" s="81">
        <v>0</v>
      </c>
      <c r="D9" s="81"/>
      <c r="E9" s="82">
        <v>46221.48</v>
      </c>
      <c r="F9" s="83"/>
      <c r="G9" s="81">
        <v>90286.88</v>
      </c>
      <c r="H9" s="12"/>
    </row>
    <row r="10" spans="1:8">
      <c r="A10" s="16" t="s">
        <v>39</v>
      </c>
      <c r="B10" s="81"/>
      <c r="C10" s="81"/>
      <c r="D10" s="81"/>
      <c r="E10" s="82"/>
      <c r="F10" s="83"/>
      <c r="G10" s="81">
        <v>1685485.95</v>
      </c>
      <c r="H10" s="12"/>
    </row>
    <row r="11" spans="1:8">
      <c r="A11" s="16" t="s">
        <v>40</v>
      </c>
      <c r="B11" s="81">
        <v>77641.88</v>
      </c>
      <c r="C11" s="81"/>
      <c r="D11" s="81"/>
      <c r="E11" s="82"/>
      <c r="F11" s="83"/>
      <c r="G11" s="81"/>
      <c r="H11" s="12"/>
    </row>
    <row r="12" spans="1:8">
      <c r="A12" s="12" t="s">
        <v>41</v>
      </c>
      <c r="B12" s="81">
        <v>558404.41999999993</v>
      </c>
      <c r="C12" s="81">
        <v>910772.82</v>
      </c>
      <c r="D12" s="81">
        <v>1493908.59</v>
      </c>
      <c r="E12" s="84">
        <v>63276.539999999994</v>
      </c>
      <c r="F12" s="83">
        <v>0</v>
      </c>
      <c r="G12" s="81">
        <v>8691151.9800000004</v>
      </c>
      <c r="H12" s="12"/>
    </row>
    <row r="13" spans="1:8">
      <c r="A13" s="12" t="s">
        <v>42</v>
      </c>
      <c r="B13" s="81">
        <v>70091.19</v>
      </c>
      <c r="C13" s="81">
        <v>57844.13</v>
      </c>
      <c r="D13" s="81">
        <v>50196.409999999996</v>
      </c>
      <c r="E13" s="82">
        <v>110957.29</v>
      </c>
      <c r="F13" s="83">
        <v>0</v>
      </c>
      <c r="G13" s="81">
        <v>61457.71</v>
      </c>
      <c r="H13" s="12"/>
    </row>
    <row r="14" spans="1:8">
      <c r="A14" s="12" t="s">
        <v>43</v>
      </c>
      <c r="B14" s="81">
        <v>0</v>
      </c>
      <c r="C14" s="81"/>
      <c r="D14" s="81"/>
      <c r="E14" s="82"/>
      <c r="F14" s="83"/>
      <c r="G14" s="81"/>
      <c r="H14" s="12"/>
    </row>
    <row r="15" spans="1:8">
      <c r="A15" s="12" t="s">
        <v>44</v>
      </c>
      <c r="B15" s="81">
        <v>324584.77</v>
      </c>
      <c r="C15" s="81">
        <v>0</v>
      </c>
      <c r="D15" s="81"/>
      <c r="E15" s="82"/>
      <c r="F15" s="83">
        <v>0</v>
      </c>
      <c r="G15" s="81">
        <v>377255.67999999999</v>
      </c>
      <c r="H15" s="12"/>
    </row>
    <row r="16" spans="1:8" ht="13.8" thickBot="1">
      <c r="A16" s="12" t="s">
        <v>45</v>
      </c>
      <c r="B16" s="85">
        <f t="shared" ref="B16:G16" si="0">SUM(B9:B15)</f>
        <v>1086768.21</v>
      </c>
      <c r="C16" s="85">
        <f t="shared" si="0"/>
        <v>968616.95</v>
      </c>
      <c r="D16" s="85">
        <f t="shared" si="0"/>
        <v>1544105</v>
      </c>
      <c r="E16" s="86">
        <f t="shared" si="0"/>
        <v>220455.31</v>
      </c>
      <c r="F16" s="85">
        <f t="shared" si="0"/>
        <v>0</v>
      </c>
      <c r="G16" s="85">
        <f t="shared" si="0"/>
        <v>10905638.200000001</v>
      </c>
      <c r="H16" s="16" t="s">
        <v>12</v>
      </c>
    </row>
    <row r="17" spans="1:8" ht="13.8" thickTop="1">
      <c r="A17" s="12"/>
      <c r="B17" s="12"/>
      <c r="C17" s="12"/>
      <c r="D17" s="12"/>
      <c r="E17" s="12"/>
      <c r="F17" s="12"/>
      <c r="G17" s="12"/>
      <c r="H17" s="12"/>
    </row>
    <row r="18" spans="1:8">
      <c r="A18" s="12" t="s">
        <v>13</v>
      </c>
      <c r="B18" s="12"/>
      <c r="C18" s="12"/>
      <c r="D18" s="12"/>
      <c r="E18" s="12"/>
      <c r="F18" s="12"/>
      <c r="G18" s="12"/>
      <c r="H18" s="12"/>
    </row>
    <row r="19" spans="1:8">
      <c r="A19" s="16" t="s">
        <v>46</v>
      </c>
      <c r="B19" s="12"/>
      <c r="C19" s="12"/>
      <c r="D19" s="12"/>
      <c r="E19" s="12"/>
      <c r="F19" s="12"/>
      <c r="G19" s="12"/>
      <c r="H19" s="12"/>
    </row>
  </sheetData>
  <mergeCells count="3">
    <mergeCell ref="A3:G3"/>
    <mergeCell ref="A4:G4"/>
    <mergeCell ref="A5:G5"/>
  </mergeCells>
  <phoneticPr fontId="36" type="noConversion"/>
  <pageMargins left="0.7" right="0.7" top="0.75" bottom="0.75" header="0.3" footer="0.3"/>
  <pageSetup orientation="portrait"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3"/>
  <sheetViews>
    <sheetView topLeftCell="B1" workbookViewId="0">
      <selection activeCell="F21" sqref="F21"/>
    </sheetView>
  </sheetViews>
  <sheetFormatPr defaultColWidth="9.109375" defaultRowHeight="13.2"/>
  <cols>
    <col min="1" max="1" width="19.109375" style="186" bestFit="1" customWidth="1"/>
    <col min="2" max="2" width="16.88671875" style="186" bestFit="1" customWidth="1"/>
    <col min="3" max="3" width="26.88671875" style="186" bestFit="1" customWidth="1"/>
    <col min="4" max="4" width="37.6640625" style="186" bestFit="1" customWidth="1"/>
    <col min="5" max="5" width="8.6640625" style="186" bestFit="1" customWidth="1"/>
    <col min="6" max="6" width="10.109375" style="186" bestFit="1" customWidth="1"/>
    <col min="7" max="7" width="9.109375" style="186"/>
    <col min="8" max="8" width="9" style="186" bestFit="1" customWidth="1"/>
    <col min="9" max="9" width="10.109375" style="186" bestFit="1" customWidth="1"/>
    <col min="10" max="16384" width="9.109375" style="186"/>
  </cols>
  <sheetData>
    <row r="1" spans="1:9">
      <c r="A1" s="218"/>
      <c r="I1" s="113"/>
    </row>
    <row r="3" spans="1:9">
      <c r="A3" s="452" t="s">
        <v>0</v>
      </c>
      <c r="B3" s="452"/>
      <c r="C3" s="452"/>
      <c r="D3" s="452"/>
      <c r="E3" s="452"/>
      <c r="F3" s="452"/>
      <c r="G3" s="452"/>
      <c r="H3" s="452"/>
      <c r="I3" s="452"/>
    </row>
    <row r="4" spans="1:9">
      <c r="A4" s="452" t="s">
        <v>137</v>
      </c>
      <c r="B4" s="452"/>
      <c r="C4" s="452"/>
      <c r="D4" s="452"/>
      <c r="E4" s="452"/>
      <c r="F4" s="452"/>
      <c r="G4" s="452"/>
      <c r="H4" s="452"/>
      <c r="I4" s="452"/>
    </row>
    <row r="5" spans="1:9">
      <c r="A5" s="453" t="s">
        <v>660</v>
      </c>
      <c r="B5" s="452"/>
      <c r="C5" s="452"/>
      <c r="D5" s="452"/>
      <c r="E5" s="452"/>
      <c r="F5" s="452"/>
      <c r="G5" s="452"/>
      <c r="H5" s="452"/>
      <c r="I5" s="452"/>
    </row>
    <row r="8" spans="1:9">
      <c r="A8" s="220" t="s">
        <v>138</v>
      </c>
      <c r="B8" s="220"/>
      <c r="C8" s="220"/>
      <c r="D8" s="220"/>
      <c r="E8" s="451" t="s">
        <v>60</v>
      </c>
      <c r="F8" s="451"/>
      <c r="G8" s="221"/>
      <c r="H8" s="221"/>
    </row>
    <row r="9" spans="1:9">
      <c r="A9" s="222" t="s">
        <v>139</v>
      </c>
      <c r="B9" s="222" t="s">
        <v>140</v>
      </c>
      <c r="C9" s="222" t="s">
        <v>141</v>
      </c>
      <c r="D9" s="222" t="s">
        <v>142</v>
      </c>
      <c r="E9" s="222" t="s">
        <v>143</v>
      </c>
      <c r="F9" s="222" t="s">
        <v>144</v>
      </c>
      <c r="G9" s="223" t="s">
        <v>145</v>
      </c>
    </row>
    <row r="10" spans="1:9">
      <c r="A10" s="224" t="s">
        <v>62</v>
      </c>
      <c r="B10" s="224" t="s">
        <v>146</v>
      </c>
      <c r="C10" s="224" t="s">
        <v>147</v>
      </c>
      <c r="D10" s="224" t="s">
        <v>148</v>
      </c>
      <c r="E10" s="225"/>
      <c r="F10" s="225">
        <v>94900.340000000011</v>
      </c>
    </row>
    <row r="11" spans="1:9">
      <c r="A11" s="224"/>
      <c r="B11" s="224"/>
      <c r="C11" s="224"/>
      <c r="D11" s="224" t="s">
        <v>602</v>
      </c>
      <c r="E11" s="226"/>
      <c r="F11" s="226">
        <v>12176.61</v>
      </c>
    </row>
    <row r="12" spans="1:9">
      <c r="A12" s="224"/>
      <c r="B12" s="224" t="s">
        <v>150</v>
      </c>
      <c r="C12" s="224"/>
      <c r="D12" s="224"/>
      <c r="E12" s="227">
        <f>E10+E11</f>
        <v>0</v>
      </c>
      <c r="F12" s="227">
        <f>F10+F11</f>
        <v>107076.95000000001</v>
      </c>
    </row>
    <row r="13" spans="1:9">
      <c r="A13" s="224"/>
      <c r="B13" s="224" t="s">
        <v>151</v>
      </c>
      <c r="C13" s="224" t="s">
        <v>152</v>
      </c>
      <c r="D13" s="224" t="s">
        <v>148</v>
      </c>
      <c r="E13" s="226"/>
      <c r="F13" s="226">
        <v>0</v>
      </c>
    </row>
    <row r="14" spans="1:9">
      <c r="A14" s="224"/>
      <c r="B14" s="224"/>
      <c r="C14" s="224"/>
      <c r="D14" s="224" t="s">
        <v>602</v>
      </c>
      <c r="E14" s="226"/>
      <c r="F14" s="226">
        <v>50799.009999999995</v>
      </c>
    </row>
    <row r="15" spans="1:9">
      <c r="A15" s="224"/>
      <c r="B15" s="224"/>
      <c r="C15" s="224"/>
      <c r="D15" s="224" t="s">
        <v>149</v>
      </c>
      <c r="E15" s="226">
        <v>6106.81</v>
      </c>
      <c r="F15" s="226"/>
    </row>
    <row r="16" spans="1:9">
      <c r="A16" s="224"/>
      <c r="B16" s="224"/>
      <c r="C16" s="224"/>
      <c r="D16" s="224" t="s">
        <v>603</v>
      </c>
      <c r="E16" s="226">
        <v>826.62</v>
      </c>
      <c r="F16" s="226"/>
    </row>
    <row r="17" spans="1:7">
      <c r="A17" s="224"/>
      <c r="B17" s="224" t="s">
        <v>153</v>
      </c>
      <c r="C17" s="224"/>
      <c r="D17" s="224"/>
      <c r="E17" s="227">
        <f>E13+E14+E15+E16</f>
        <v>6933.43</v>
      </c>
      <c r="F17" s="227">
        <f>F13+F14+F15+F16</f>
        <v>50799.009999999995</v>
      </c>
    </row>
    <row r="18" spans="1:7">
      <c r="A18" s="224"/>
      <c r="B18" s="224" t="s">
        <v>154</v>
      </c>
      <c r="C18" s="224" t="s">
        <v>155</v>
      </c>
      <c r="D18" s="224" t="s">
        <v>148</v>
      </c>
      <c r="E18" s="226"/>
      <c r="F18" s="226"/>
    </row>
    <row r="19" spans="1:7">
      <c r="A19" s="224"/>
      <c r="B19" s="224"/>
      <c r="C19" s="224"/>
      <c r="D19" s="224" t="s">
        <v>602</v>
      </c>
      <c r="E19" s="226"/>
      <c r="F19" s="226"/>
    </row>
    <row r="20" spans="1:7">
      <c r="A20" s="224"/>
      <c r="B20" s="224" t="s">
        <v>156</v>
      </c>
      <c r="C20" s="224"/>
      <c r="D20" s="224"/>
      <c r="E20" s="227">
        <f>E18+E19</f>
        <v>0</v>
      </c>
      <c r="F20" s="227">
        <f>F18+F19</f>
        <v>0</v>
      </c>
    </row>
    <row r="21" spans="1:7" ht="13.8" thickBot="1">
      <c r="A21" s="224" t="s">
        <v>157</v>
      </c>
      <c r="B21" s="224"/>
      <c r="C21" s="224"/>
      <c r="D21" s="224"/>
      <c r="E21" s="228">
        <f>E20+E17+E12</f>
        <v>6933.43</v>
      </c>
      <c r="F21" s="229">
        <f>F20+F17+F12</f>
        <v>157875.96000000002</v>
      </c>
      <c r="G21" s="230">
        <f>E21+F21</f>
        <v>164809.39000000001</v>
      </c>
    </row>
    <row r="22" spans="1:7" ht="13.8" thickTop="1"/>
    <row r="23" spans="1:7">
      <c r="A23" s="231" t="s">
        <v>655</v>
      </c>
    </row>
  </sheetData>
  <mergeCells count="4">
    <mergeCell ref="E8:F8"/>
    <mergeCell ref="A3:I3"/>
    <mergeCell ref="A4:I4"/>
    <mergeCell ref="A5:I5"/>
  </mergeCells>
  <phoneticPr fontId="36" type="noConversion"/>
  <pageMargins left="0.7" right="0.7" top="0.75" bottom="0.75" header="0.3" footer="0.3"/>
  <pageSetup scale="61" orientation="portrait"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topLeftCell="A16" workbookViewId="0">
      <selection activeCell="D33" sqref="D33"/>
    </sheetView>
  </sheetViews>
  <sheetFormatPr defaultColWidth="9.109375" defaultRowHeight="13.2"/>
  <cols>
    <col min="1" max="1" width="11.33203125" style="65" customWidth="1"/>
    <col min="2" max="3" width="16.109375" style="65" customWidth="1"/>
    <col min="4" max="4" width="16.88671875" style="65" customWidth="1"/>
    <col min="5" max="5" width="11.88671875" style="65" bestFit="1" customWidth="1"/>
    <col min="6" max="16384" width="9.109375" style="65"/>
  </cols>
  <sheetData>
    <row r="1" spans="1:4">
      <c r="A1" s="455" t="s">
        <v>47</v>
      </c>
      <c r="B1" s="455"/>
      <c r="C1" s="455"/>
      <c r="D1" s="455"/>
    </row>
    <row r="2" spans="1:4">
      <c r="A2" s="455" t="s">
        <v>657</v>
      </c>
      <c r="B2" s="455"/>
      <c r="C2" s="455"/>
      <c r="D2" s="455"/>
    </row>
    <row r="3" spans="1:4">
      <c r="A3" s="456" t="s">
        <v>656</v>
      </c>
      <c r="B3" s="456"/>
      <c r="C3" s="456"/>
      <c r="D3" s="456"/>
    </row>
    <row r="5" spans="1:4">
      <c r="B5" s="454" t="s">
        <v>117</v>
      </c>
      <c r="C5" s="454"/>
    </row>
    <row r="6" spans="1:4">
      <c r="B6" s="66">
        <v>41275</v>
      </c>
      <c r="C6" s="66">
        <v>41639</v>
      </c>
      <c r="D6" s="67">
        <v>2013</v>
      </c>
    </row>
    <row r="7" spans="1:4" ht="27" customHeight="1">
      <c r="B7" s="215" t="s">
        <v>118</v>
      </c>
      <c r="C7" s="215" t="s">
        <v>118</v>
      </c>
      <c r="D7" s="215" t="s">
        <v>119</v>
      </c>
    </row>
    <row r="8" spans="1:4">
      <c r="A8" s="65" t="s">
        <v>33</v>
      </c>
      <c r="B8" s="69">
        <v>66591377</v>
      </c>
      <c r="C8" s="69">
        <v>59713147</v>
      </c>
      <c r="D8" s="70">
        <f>B8-C8</f>
        <v>6878230</v>
      </c>
    </row>
    <row r="9" spans="1:4">
      <c r="A9" s="65" t="s">
        <v>120</v>
      </c>
      <c r="B9" s="69">
        <v>215266267</v>
      </c>
      <c r="C9" s="69">
        <v>206168689</v>
      </c>
      <c r="D9" s="70">
        <f t="shared" ref="D9:D13" si="0">B9-C9</f>
        <v>9097578</v>
      </c>
    </row>
    <row r="10" spans="1:4">
      <c r="A10" s="65" t="s">
        <v>35</v>
      </c>
      <c r="B10" s="69">
        <v>181103341</v>
      </c>
      <c r="C10" s="69">
        <v>176712399</v>
      </c>
      <c r="D10" s="70">
        <f t="shared" si="0"/>
        <v>4390942</v>
      </c>
    </row>
    <row r="11" spans="1:4">
      <c r="A11" s="65" t="s">
        <v>25</v>
      </c>
      <c r="B11" s="69">
        <v>35715852</v>
      </c>
      <c r="C11" s="69">
        <v>33652302</v>
      </c>
      <c r="D11" s="70">
        <f t="shared" si="0"/>
        <v>2063550</v>
      </c>
    </row>
    <row r="12" spans="1:4">
      <c r="A12" s="65" t="s">
        <v>91</v>
      </c>
      <c r="B12" s="69">
        <v>11007597</v>
      </c>
      <c r="C12" s="69">
        <v>8564327</v>
      </c>
      <c r="D12" s="70">
        <f t="shared" si="0"/>
        <v>2443270</v>
      </c>
    </row>
    <row r="13" spans="1:4">
      <c r="A13" s="65" t="s">
        <v>37</v>
      </c>
      <c r="B13" s="69">
        <v>68977871</v>
      </c>
      <c r="C13" s="69">
        <v>66258902</v>
      </c>
      <c r="D13" s="70">
        <f t="shared" si="0"/>
        <v>2718969</v>
      </c>
    </row>
    <row r="14" spans="1:4" ht="13.8" thickBot="1">
      <c r="A14" s="65" t="s">
        <v>45</v>
      </c>
      <c r="B14" s="71">
        <f>SUM(B8:B13)</f>
        <v>578662305</v>
      </c>
      <c r="C14" s="71">
        <f>SUM(C8:C13)</f>
        <v>551069766</v>
      </c>
      <c r="D14" s="71">
        <f>SUM(D8:D13)</f>
        <v>27592539</v>
      </c>
    </row>
    <row r="15" spans="1:4" ht="13.8" thickTop="1"/>
    <row r="16" spans="1:4" ht="52.8">
      <c r="B16" s="68" t="s">
        <v>601</v>
      </c>
      <c r="C16" s="68" t="s">
        <v>121</v>
      </c>
      <c r="D16" s="68" t="s">
        <v>122</v>
      </c>
    </row>
    <row r="17" spans="1:5">
      <c r="A17" s="65" t="s">
        <v>33</v>
      </c>
      <c r="B17" s="69">
        <v>-2497506</v>
      </c>
      <c r="C17" s="72">
        <v>0.39229999999999998</v>
      </c>
      <c r="D17" s="212">
        <f t="shared" ref="D17:D22" si="1">ABS(B17*C17)</f>
        <v>979771.60379999992</v>
      </c>
    </row>
    <row r="18" spans="1:5">
      <c r="A18" s="65" t="s">
        <v>120</v>
      </c>
      <c r="B18" s="69">
        <v>-2473008</v>
      </c>
      <c r="C18" s="72">
        <v>0.38479999999999998</v>
      </c>
      <c r="D18" s="212">
        <f t="shared" si="1"/>
        <v>951613.47839999991</v>
      </c>
    </row>
    <row r="19" spans="1:5">
      <c r="A19" s="65" t="s">
        <v>35</v>
      </c>
      <c r="B19" s="69">
        <v>-2783638</v>
      </c>
      <c r="C19" s="72">
        <v>0.38479999999999998</v>
      </c>
      <c r="D19" s="212">
        <f t="shared" si="1"/>
        <v>1071143.9024</v>
      </c>
    </row>
    <row r="20" spans="1:5">
      <c r="A20" s="65" t="s">
        <v>25</v>
      </c>
      <c r="B20" s="69">
        <v>-1602833</v>
      </c>
      <c r="C20" s="72">
        <v>0.38250000000000001</v>
      </c>
      <c r="D20" s="212">
        <f t="shared" si="1"/>
        <v>613083.62250000006</v>
      </c>
    </row>
    <row r="21" spans="1:5">
      <c r="A21" s="65" t="s">
        <v>91</v>
      </c>
      <c r="B21" s="69">
        <v>-286044</v>
      </c>
      <c r="C21" s="72">
        <v>0.38479999999999998</v>
      </c>
      <c r="D21" s="212">
        <f t="shared" si="1"/>
        <v>110069.73119999999</v>
      </c>
    </row>
    <row r="22" spans="1:5">
      <c r="A22" s="65" t="s">
        <v>37</v>
      </c>
      <c r="B22" s="69">
        <v>-1082273</v>
      </c>
      <c r="C22" s="72">
        <v>0.35</v>
      </c>
      <c r="D22" s="212">
        <f t="shared" si="1"/>
        <v>378795.55</v>
      </c>
    </row>
    <row r="23" spans="1:5" ht="13.8" thickBot="1">
      <c r="A23" s="65" t="s">
        <v>45</v>
      </c>
      <c r="B23" s="71">
        <f>SUM(B17:B22)</f>
        <v>-10725302</v>
      </c>
      <c r="C23" s="71"/>
      <c r="D23" s="213">
        <f>SUM(D17:D22)</f>
        <v>4104477.8882999998</v>
      </c>
    </row>
    <row r="24" spans="1:5" ht="13.8" thickTop="1"/>
    <row r="25" spans="1:5" ht="26.4">
      <c r="B25" s="215" t="s">
        <v>123</v>
      </c>
      <c r="C25" s="215" t="s">
        <v>123</v>
      </c>
      <c r="D25" s="215" t="s">
        <v>124</v>
      </c>
    </row>
    <row r="26" spans="1:5">
      <c r="B26" s="74">
        <v>41275</v>
      </c>
      <c r="C26" s="74">
        <v>41639</v>
      </c>
      <c r="D26" s="75">
        <v>2013</v>
      </c>
    </row>
    <row r="27" spans="1:5">
      <c r="A27" s="76" t="s">
        <v>33</v>
      </c>
      <c r="B27" s="73">
        <v>-607869</v>
      </c>
      <c r="C27" s="73">
        <v>-567484</v>
      </c>
      <c r="D27" s="77">
        <f>B27-C27</f>
        <v>-40385</v>
      </c>
      <c r="E27" s="70"/>
    </row>
    <row r="28" spans="1:5">
      <c r="A28" s="76" t="s">
        <v>120</v>
      </c>
      <c r="B28" s="73">
        <v>-8430175</v>
      </c>
      <c r="C28" s="73">
        <v>-7853589</v>
      </c>
      <c r="D28" s="77">
        <f t="shared" ref="D28:D32" si="2">B28-C28</f>
        <v>-576586</v>
      </c>
    </row>
    <row r="29" spans="1:5" ht="13.8" thickBot="1">
      <c r="A29" s="76" t="s">
        <v>35</v>
      </c>
      <c r="B29" s="73">
        <v>-37424036</v>
      </c>
      <c r="C29" s="73">
        <v>-34828951</v>
      </c>
      <c r="D29" s="77">
        <f t="shared" si="2"/>
        <v>-2595085</v>
      </c>
    </row>
    <row r="30" spans="1:5" ht="13.8" thickBot="1">
      <c r="A30" s="78" t="s">
        <v>25</v>
      </c>
      <c r="B30" s="79">
        <v>-6032124</v>
      </c>
      <c r="C30" s="79">
        <v>-5718733</v>
      </c>
      <c r="D30" s="80">
        <f t="shared" si="2"/>
        <v>-313391</v>
      </c>
    </row>
    <row r="31" spans="1:5">
      <c r="A31" s="65" t="s">
        <v>91</v>
      </c>
      <c r="B31" s="69">
        <v>-2179499</v>
      </c>
      <c r="C31" s="69">
        <v>-1991540</v>
      </c>
      <c r="D31" s="70">
        <f t="shared" si="2"/>
        <v>-187959</v>
      </c>
    </row>
    <row r="32" spans="1:5">
      <c r="A32" s="76" t="s">
        <v>37</v>
      </c>
      <c r="B32" s="73">
        <v>2189010</v>
      </c>
      <c r="C32" s="73">
        <v>2317328</v>
      </c>
      <c r="D32" s="77">
        <f t="shared" si="2"/>
        <v>-128318</v>
      </c>
    </row>
    <row r="33" spans="1:4" ht="13.8" thickBot="1">
      <c r="A33" s="65" t="s">
        <v>45</v>
      </c>
      <c r="B33" s="71">
        <f>SUM(B27:B32)</f>
        <v>-52484693</v>
      </c>
      <c r="C33" s="71">
        <f>SUM(C27:C32)</f>
        <v>-48642969</v>
      </c>
      <c r="D33" s="71">
        <f>SUM(D27:D32)</f>
        <v>-3841724</v>
      </c>
    </row>
    <row r="34" spans="1:4" ht="13.8" thickTop="1"/>
    <row r="35" spans="1:4" ht="50.25" customHeight="1">
      <c r="B35" s="215" t="s">
        <v>118</v>
      </c>
      <c r="C35" s="215" t="s">
        <v>125</v>
      </c>
      <c r="D35" s="215" t="s">
        <v>126</v>
      </c>
    </row>
    <row r="36" spans="1:4">
      <c r="B36" s="74">
        <v>41275</v>
      </c>
      <c r="C36" s="74">
        <v>41639</v>
      </c>
      <c r="D36" s="75">
        <v>2013</v>
      </c>
    </row>
    <row r="37" spans="1:4">
      <c r="A37" s="76" t="s">
        <v>33</v>
      </c>
      <c r="B37" s="73">
        <v>67199246</v>
      </c>
      <c r="C37" s="73">
        <v>59300859</v>
      </c>
      <c r="D37" s="77">
        <f>B37-C37</f>
        <v>7898387</v>
      </c>
    </row>
    <row r="38" spans="1:4">
      <c r="A38" s="76" t="s">
        <v>120</v>
      </c>
      <c r="B38" s="73">
        <v>223696442</v>
      </c>
      <c r="C38" s="73">
        <v>213070665</v>
      </c>
      <c r="D38" s="77">
        <f t="shared" ref="D38:D42" si="3">B38-C38</f>
        <v>10625777</v>
      </c>
    </row>
    <row r="39" spans="1:4" ht="13.8" thickBot="1">
      <c r="A39" s="76" t="s">
        <v>35</v>
      </c>
      <c r="B39" s="73">
        <v>218527377</v>
      </c>
      <c r="C39" s="73">
        <v>210470206</v>
      </c>
      <c r="D39" s="77">
        <f t="shared" si="3"/>
        <v>8057171</v>
      </c>
    </row>
    <row r="40" spans="1:4" ht="13.8" thickBot="1">
      <c r="A40" s="78" t="s">
        <v>25</v>
      </c>
      <c r="B40" s="79">
        <v>41747976</v>
      </c>
      <c r="C40" s="79">
        <v>38757951</v>
      </c>
      <c r="D40" s="80">
        <f t="shared" si="3"/>
        <v>2990025</v>
      </c>
    </row>
    <row r="41" spans="1:4">
      <c r="A41" s="65" t="s">
        <v>91</v>
      </c>
      <c r="B41" s="69">
        <v>13187096</v>
      </c>
      <c r="C41" s="69">
        <v>10445797</v>
      </c>
      <c r="D41" s="70">
        <f t="shared" si="3"/>
        <v>2741299</v>
      </c>
    </row>
    <row r="42" spans="1:4">
      <c r="A42" s="76" t="s">
        <v>37</v>
      </c>
      <c r="B42" s="73">
        <v>66788861</v>
      </c>
      <c r="C42" s="73">
        <v>63562778</v>
      </c>
      <c r="D42" s="77">
        <f t="shared" si="3"/>
        <v>3226083</v>
      </c>
    </row>
    <row r="43" spans="1:4" ht="13.8" thickBot="1">
      <c r="A43" s="65" t="s">
        <v>45</v>
      </c>
      <c r="B43" s="71">
        <f>SUM(B37:B42)</f>
        <v>631146998</v>
      </c>
      <c r="C43" s="71">
        <f>SUM(C37:C42)</f>
        <v>595608256</v>
      </c>
      <c r="D43" s="71">
        <f>SUM(D37:D42)</f>
        <v>35538742</v>
      </c>
    </row>
    <row r="44" spans="1:4" ht="13.8" thickTop="1">
      <c r="D44" s="70"/>
    </row>
  </sheetData>
  <mergeCells count="4">
    <mergeCell ref="B5:C5"/>
    <mergeCell ref="A1:D1"/>
    <mergeCell ref="A3:D3"/>
    <mergeCell ref="A2:D2"/>
  </mergeCells>
  <phoneticPr fontId="36" type="noConversion"/>
  <printOptions horizontalCentered="1"/>
  <pageMargins left="0.7" right="0.7" top="0.75" bottom="0.75" header="0.3" footer="0.3"/>
  <pageSetup orientation="portrait"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14"/>
  <sheetViews>
    <sheetView zoomScale="90" zoomScaleNormal="90" workbookViewId="0">
      <pane xSplit="1" ySplit="10" topLeftCell="B11" activePane="bottomRight" state="frozen"/>
      <selection pane="topRight"/>
      <selection pane="bottomLeft"/>
      <selection pane="bottomRight" activeCell="D30" sqref="D30"/>
    </sheetView>
  </sheetViews>
  <sheetFormatPr defaultColWidth="9.109375" defaultRowHeight="13.2"/>
  <cols>
    <col min="1" max="1" width="26" style="1" bestFit="1" customWidth="1"/>
    <col min="2" max="2" width="14.109375" style="1" bestFit="1" customWidth="1"/>
    <col min="3" max="8" width="15.6640625" style="1" customWidth="1"/>
    <col min="9" max="9" width="14" style="1" bestFit="1" customWidth="1"/>
    <col min="10" max="13" width="15.6640625" style="1" customWidth="1"/>
    <col min="14" max="16384" width="9.109375" style="1"/>
  </cols>
  <sheetData>
    <row r="1" spans="1:13">
      <c r="A1" s="96"/>
      <c r="M1" s="113"/>
    </row>
    <row r="3" spans="1:13">
      <c r="A3" s="9" t="s">
        <v>20</v>
      </c>
      <c r="B3" s="8"/>
      <c r="C3" s="8"/>
      <c r="D3" s="10"/>
      <c r="E3" s="8"/>
      <c r="F3" s="8"/>
      <c r="G3" s="8"/>
      <c r="H3" s="8"/>
      <c r="I3" s="8"/>
      <c r="J3" s="8"/>
      <c r="K3" s="8"/>
      <c r="L3" s="8"/>
      <c r="M3" s="8"/>
    </row>
    <row r="4" spans="1:13">
      <c r="A4" s="9" t="s">
        <v>19</v>
      </c>
      <c r="B4" s="8"/>
      <c r="C4" s="8"/>
      <c r="D4" s="8"/>
      <c r="E4" s="8"/>
      <c r="F4" s="8"/>
      <c r="G4" s="8"/>
      <c r="H4" s="8"/>
      <c r="I4" s="8"/>
      <c r="J4" s="8"/>
      <c r="K4" s="8"/>
      <c r="L4" s="8"/>
      <c r="M4" s="8"/>
    </row>
    <row r="5" spans="1:13">
      <c r="A5" s="9" t="s">
        <v>658</v>
      </c>
      <c r="B5" s="8"/>
      <c r="C5" s="8"/>
      <c r="D5" s="8"/>
      <c r="E5" s="8"/>
      <c r="F5" s="8"/>
      <c r="G5" s="8"/>
      <c r="H5" s="8"/>
      <c r="I5" s="8"/>
      <c r="J5" s="8"/>
      <c r="K5" s="8"/>
      <c r="L5" s="8"/>
      <c r="M5" s="8"/>
    </row>
    <row r="6" spans="1:13">
      <c r="A6" s="3"/>
      <c r="B6" s="3"/>
      <c r="C6" s="3"/>
      <c r="D6" s="3"/>
      <c r="E6" s="3"/>
      <c r="F6" s="3"/>
      <c r="G6" s="3"/>
      <c r="H6" s="3"/>
      <c r="I6" s="3"/>
      <c r="J6" s="3"/>
      <c r="K6" s="3"/>
      <c r="L6" s="3"/>
      <c r="M6" s="3"/>
    </row>
    <row r="7" spans="1:13">
      <c r="A7" s="3"/>
      <c r="B7" s="3"/>
      <c r="C7" s="3"/>
      <c r="D7" s="3"/>
      <c r="E7" s="3"/>
      <c r="F7" s="3"/>
      <c r="G7" s="3"/>
      <c r="H7" s="3"/>
      <c r="I7" s="3"/>
      <c r="J7" s="3"/>
      <c r="K7" s="3"/>
      <c r="L7" s="3"/>
      <c r="M7" s="3"/>
    </row>
    <row r="8" spans="1:13">
      <c r="A8" s="3"/>
      <c r="B8" s="3"/>
      <c r="C8" s="3"/>
      <c r="D8" s="3"/>
      <c r="E8" s="3"/>
      <c r="F8" s="3"/>
      <c r="G8" s="3"/>
      <c r="H8" s="3"/>
      <c r="I8" s="3"/>
      <c r="J8" s="3"/>
      <c r="K8" s="3"/>
      <c r="L8" s="3"/>
      <c r="M8" s="3"/>
    </row>
    <row r="9" spans="1:13">
      <c r="A9" s="7" t="s">
        <v>18</v>
      </c>
      <c r="B9" s="184">
        <v>41275</v>
      </c>
      <c r="C9" s="184">
        <v>41306</v>
      </c>
      <c r="D9" s="184">
        <v>41334</v>
      </c>
      <c r="E9" s="184">
        <v>41365</v>
      </c>
      <c r="F9" s="184">
        <v>41395</v>
      </c>
      <c r="G9" s="184">
        <v>41426</v>
      </c>
      <c r="H9" s="184">
        <v>41456</v>
      </c>
      <c r="I9" s="184">
        <v>41487</v>
      </c>
      <c r="J9" s="184">
        <v>41518</v>
      </c>
      <c r="K9" s="184">
        <v>41548</v>
      </c>
      <c r="L9" s="184">
        <v>41579</v>
      </c>
      <c r="M9" s="184">
        <v>41609</v>
      </c>
    </row>
    <row r="10" spans="1:13" ht="13.8" thickBot="1">
      <c r="A10" s="3"/>
      <c r="B10" s="3"/>
      <c r="C10" s="3"/>
      <c r="D10" s="3"/>
      <c r="E10" s="3"/>
      <c r="F10" s="3"/>
      <c r="G10" s="3"/>
      <c r="H10" s="3"/>
      <c r="I10" s="3"/>
      <c r="J10" s="3"/>
      <c r="K10" s="3"/>
      <c r="L10" s="3"/>
      <c r="M10" s="3"/>
    </row>
    <row r="11" spans="1:13" ht="13.8" thickBot="1">
      <c r="A11" s="6" t="s">
        <v>17</v>
      </c>
      <c r="B11" s="94">
        <v>13487968.189999999</v>
      </c>
      <c r="C11" s="94">
        <v>13487968.189999999</v>
      </c>
      <c r="D11" s="94">
        <v>13488451.68</v>
      </c>
      <c r="E11" s="94">
        <v>13488451.68</v>
      </c>
      <c r="F11" s="94">
        <v>13488969.75</v>
      </c>
      <c r="G11" s="94">
        <v>13544162.550000001</v>
      </c>
      <c r="H11" s="94">
        <v>13544907.680000002</v>
      </c>
      <c r="I11" s="94">
        <v>13544907.680000002</v>
      </c>
      <c r="J11" s="94">
        <v>13544907.680000002</v>
      </c>
      <c r="K11" s="94">
        <v>13488969.750000002</v>
      </c>
      <c r="L11" s="94">
        <v>13488969.750000002</v>
      </c>
      <c r="M11" s="5">
        <v>13488969.750000002</v>
      </c>
    </row>
    <row r="12" spans="1:13">
      <c r="A12" s="2" t="s">
        <v>16</v>
      </c>
      <c r="B12" s="4">
        <v>838477712.35000002</v>
      </c>
      <c r="C12" s="4">
        <v>840199150.97000003</v>
      </c>
      <c r="D12" s="4">
        <v>845990276.85000002</v>
      </c>
      <c r="E12" s="4">
        <v>850003927.24000001</v>
      </c>
      <c r="F12" s="4">
        <v>866336432.68000007</v>
      </c>
      <c r="G12" s="4">
        <v>867439616.32000005</v>
      </c>
      <c r="H12" s="4">
        <v>868193046.43000007</v>
      </c>
      <c r="I12" s="4">
        <v>868417237.76000011</v>
      </c>
      <c r="J12" s="4">
        <v>868195011.51000011</v>
      </c>
      <c r="K12" s="4">
        <v>869346245.95000017</v>
      </c>
      <c r="L12" s="4">
        <v>907515905.7900002</v>
      </c>
      <c r="M12" s="4">
        <v>912747047.20000017</v>
      </c>
    </row>
    <row r="13" spans="1:13" ht="13.8" thickBot="1">
      <c r="A13" s="3" t="s">
        <v>15</v>
      </c>
      <c r="B13" s="367">
        <f>B11+B12</f>
        <v>851965680.54000008</v>
      </c>
      <c r="C13" s="367">
        <f t="shared" ref="C13:M13" si="0">C11+C12</f>
        <v>853687119.16000009</v>
      </c>
      <c r="D13" s="367">
        <f t="shared" si="0"/>
        <v>859478728.52999997</v>
      </c>
      <c r="E13" s="367">
        <f t="shared" si="0"/>
        <v>863492378.91999996</v>
      </c>
      <c r="F13" s="367">
        <f t="shared" si="0"/>
        <v>879825402.43000007</v>
      </c>
      <c r="G13" s="367">
        <f t="shared" si="0"/>
        <v>880983778.87</v>
      </c>
      <c r="H13" s="367">
        <f t="shared" si="0"/>
        <v>881737954.11000001</v>
      </c>
      <c r="I13" s="367">
        <f t="shared" si="0"/>
        <v>881962145.44000006</v>
      </c>
      <c r="J13" s="367">
        <f t="shared" si="0"/>
        <v>881739919.19000006</v>
      </c>
      <c r="K13" s="367">
        <f t="shared" si="0"/>
        <v>882835215.70000017</v>
      </c>
      <c r="L13" s="367">
        <f t="shared" si="0"/>
        <v>921004875.5400002</v>
      </c>
      <c r="M13" s="367">
        <f t="shared" si="0"/>
        <v>926236016.95000017</v>
      </c>
    </row>
    <row r="14" spans="1:13" ht="13.8" thickTop="1"/>
  </sheetData>
  <phoneticPr fontId="36" type="noConversion"/>
  <pageMargins left="0.7" right="0.7" top="0.75" bottom="0.75" header="0.3" footer="0.3"/>
  <pageSetup scale="57"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5"/>
  <sheetViews>
    <sheetView workbookViewId="0">
      <selection activeCell="J13" sqref="J13"/>
    </sheetView>
  </sheetViews>
  <sheetFormatPr defaultColWidth="9.109375" defaultRowHeight="14.4"/>
  <cols>
    <col min="1" max="1" width="7.109375" style="33" customWidth="1"/>
    <col min="2" max="2" width="11.5546875" style="33" bestFit="1" customWidth="1"/>
    <col min="3" max="3" width="11.109375" style="33" bestFit="1" customWidth="1"/>
    <col min="4" max="4" width="13.33203125" style="33" bestFit="1" customWidth="1"/>
    <col min="5" max="5" width="12.5546875" style="33" bestFit="1" customWidth="1"/>
    <col min="6" max="6" width="11.33203125" style="33" bestFit="1" customWidth="1"/>
    <col min="7" max="7" width="1.33203125" style="33" customWidth="1"/>
    <col min="8" max="8" width="14.6640625" style="33" bestFit="1" customWidth="1"/>
    <col min="9" max="9" width="1.33203125" style="33" customWidth="1"/>
    <col min="10" max="10" width="11.5546875" style="33" bestFit="1" customWidth="1"/>
    <col min="11" max="11" width="10.5546875" style="33" bestFit="1" customWidth="1"/>
    <col min="12" max="16384" width="9.109375" style="33"/>
  </cols>
  <sheetData>
    <row r="1" spans="1:11">
      <c r="A1" s="459" t="s">
        <v>47</v>
      </c>
      <c r="B1" s="459"/>
      <c r="C1" s="459"/>
      <c r="D1" s="459"/>
      <c r="E1" s="459"/>
      <c r="F1" s="459"/>
      <c r="G1" s="459"/>
      <c r="H1" s="459"/>
      <c r="I1" s="459"/>
      <c r="J1" s="459"/>
    </row>
    <row r="2" spans="1:11">
      <c r="A2" s="460" t="s">
        <v>686</v>
      </c>
      <c r="B2" s="459"/>
      <c r="C2" s="459"/>
      <c r="D2" s="459"/>
      <c r="E2" s="459"/>
      <c r="F2" s="459"/>
      <c r="G2" s="459"/>
      <c r="H2" s="459"/>
      <c r="I2" s="459"/>
      <c r="J2" s="459"/>
    </row>
    <row r="3" spans="1:11">
      <c r="A3" s="461" t="s">
        <v>659</v>
      </c>
      <c r="B3" s="461"/>
      <c r="C3" s="461"/>
      <c r="D3" s="461"/>
      <c r="E3" s="461"/>
      <c r="F3" s="461"/>
      <c r="G3" s="461"/>
      <c r="H3" s="461"/>
      <c r="I3" s="461"/>
      <c r="J3" s="461"/>
    </row>
    <row r="4" spans="1:11">
      <c r="A4" s="31"/>
      <c r="B4" s="31"/>
      <c r="C4" s="31"/>
      <c r="D4" s="31"/>
      <c r="E4" s="31"/>
      <c r="F4" s="31"/>
      <c r="G4" s="31"/>
      <c r="H4" s="31"/>
      <c r="I4" s="31"/>
      <c r="J4" s="32" t="s">
        <v>12</v>
      </c>
    </row>
    <row r="5" spans="1:11" ht="15" thickBot="1">
      <c r="A5" s="31"/>
      <c r="B5" s="457" t="s">
        <v>82</v>
      </c>
      <c r="C5" s="457"/>
      <c r="D5" s="457"/>
      <c r="E5" s="458"/>
      <c r="F5" s="457"/>
      <c r="G5" s="31"/>
      <c r="H5" s="34" t="s">
        <v>83</v>
      </c>
      <c r="I5" s="31"/>
      <c r="J5" s="210" t="s">
        <v>45</v>
      </c>
    </row>
    <row r="6" spans="1:11">
      <c r="A6" s="31"/>
      <c r="B6" s="36" t="s">
        <v>42</v>
      </c>
      <c r="C6" s="36" t="s">
        <v>84</v>
      </c>
      <c r="D6" s="36" t="s">
        <v>85</v>
      </c>
      <c r="E6" s="216" t="s">
        <v>41</v>
      </c>
      <c r="F6" s="36" t="s">
        <v>56</v>
      </c>
      <c r="G6" s="217"/>
      <c r="H6" s="36" t="s">
        <v>42</v>
      </c>
      <c r="I6" s="35"/>
      <c r="J6" s="36" t="s">
        <v>86</v>
      </c>
    </row>
    <row r="7" spans="1:11">
      <c r="A7" s="37" t="s">
        <v>33</v>
      </c>
      <c r="B7" s="38">
        <v>1578325.1500000018</v>
      </c>
      <c r="C7" s="38">
        <v>6266.3</v>
      </c>
      <c r="D7" s="38">
        <v>328620.55000000005</v>
      </c>
      <c r="E7" s="39">
        <v>42032.84</v>
      </c>
      <c r="F7" s="38">
        <f>SUM(B7:E7)</f>
        <v>1955244.8400000019</v>
      </c>
      <c r="G7" s="38"/>
      <c r="H7" s="40">
        <v>3848628.6599999997</v>
      </c>
      <c r="I7" s="38"/>
      <c r="J7" s="38">
        <f>+H7+F7</f>
        <v>5803873.5000000019</v>
      </c>
      <c r="K7" s="300"/>
    </row>
    <row r="8" spans="1:11">
      <c r="A8" s="37" t="s">
        <v>35</v>
      </c>
      <c r="B8" s="38">
        <v>2039966.1800000006</v>
      </c>
      <c r="C8" s="38">
        <v>141184.84999999998</v>
      </c>
      <c r="D8" s="38">
        <v>72931.939999999988</v>
      </c>
      <c r="E8" s="42">
        <v>1067022.7100000002</v>
      </c>
      <c r="F8" s="38">
        <f t="shared" ref="F8:F12" si="0">SUM(B8:E8)</f>
        <v>3321105.6800000006</v>
      </c>
      <c r="G8" s="38"/>
      <c r="H8" s="40">
        <v>5465637.7700000005</v>
      </c>
      <c r="I8" s="38"/>
      <c r="J8" s="38">
        <f t="shared" ref="J8:J12" si="1">+H8+F8</f>
        <v>8786743.4500000011</v>
      </c>
    </row>
    <row r="9" spans="1:11">
      <c r="A9" s="37" t="s">
        <v>34</v>
      </c>
      <c r="B9" s="38">
        <v>0</v>
      </c>
      <c r="C9" s="38">
        <v>130287.99</v>
      </c>
      <c r="D9" s="38">
        <v>200809.83</v>
      </c>
      <c r="E9" s="42">
        <v>5000</v>
      </c>
      <c r="F9" s="38">
        <f t="shared" si="0"/>
        <v>336097.82</v>
      </c>
      <c r="G9" s="38"/>
      <c r="H9" s="40">
        <v>3022572.26</v>
      </c>
      <c r="I9" s="38"/>
      <c r="J9" s="38">
        <f t="shared" si="1"/>
        <v>3358670.0799999996</v>
      </c>
    </row>
    <row r="10" spans="1:11">
      <c r="A10" s="37" t="s">
        <v>25</v>
      </c>
      <c r="B10" s="38">
        <v>1714985.8999999992</v>
      </c>
      <c r="C10" s="38">
        <v>93059.98</v>
      </c>
      <c r="D10" s="38">
        <v>446671.47999999992</v>
      </c>
      <c r="E10" s="41">
        <v>3344.42</v>
      </c>
      <c r="F10" s="38">
        <f t="shared" si="0"/>
        <v>2258061.7799999989</v>
      </c>
      <c r="G10" s="38"/>
      <c r="H10" s="40">
        <v>5168058.8999999994</v>
      </c>
      <c r="I10" s="38"/>
      <c r="J10" s="38">
        <f t="shared" si="1"/>
        <v>7426120.6799999978</v>
      </c>
    </row>
    <row r="11" spans="1:11">
      <c r="A11" s="49" t="s">
        <v>36</v>
      </c>
      <c r="B11" s="38">
        <v>0</v>
      </c>
      <c r="C11" s="38">
        <v>44799.950000000012</v>
      </c>
      <c r="D11" s="38">
        <v>4575.2700000000004</v>
      </c>
      <c r="E11" s="43">
        <v>1049038.57</v>
      </c>
      <c r="F11" s="38">
        <f t="shared" si="0"/>
        <v>1098413.79</v>
      </c>
      <c r="G11" s="38"/>
      <c r="H11" s="40">
        <v>646721.58000000007</v>
      </c>
      <c r="I11" s="38"/>
      <c r="J11" s="38">
        <f t="shared" si="1"/>
        <v>1745135.37</v>
      </c>
    </row>
    <row r="12" spans="1:11">
      <c r="A12" s="37" t="s">
        <v>37</v>
      </c>
      <c r="B12" s="38">
        <v>61275.120000000017</v>
      </c>
      <c r="C12" s="38">
        <v>7400</v>
      </c>
      <c r="D12" s="38">
        <v>516631.65000000008</v>
      </c>
      <c r="E12" s="43">
        <v>162372.33000000002</v>
      </c>
      <c r="F12" s="38">
        <f t="shared" si="0"/>
        <v>747679.10000000009</v>
      </c>
      <c r="G12" s="38"/>
      <c r="H12" s="40">
        <v>2866938.7800000003</v>
      </c>
      <c r="I12" s="38"/>
      <c r="J12" s="38">
        <f t="shared" si="1"/>
        <v>3614617.8800000004</v>
      </c>
    </row>
    <row r="13" spans="1:11" ht="15" thickBot="1">
      <c r="A13" s="31"/>
      <c r="B13" s="44">
        <f>SUM(B7:B12)</f>
        <v>5394552.3500000015</v>
      </c>
      <c r="C13" s="44">
        <f t="shared" ref="C13:F13" si="2">SUM(C7:C12)</f>
        <v>422999.06999999995</v>
      </c>
      <c r="D13" s="44">
        <f t="shared" si="2"/>
        <v>1570240.7200000002</v>
      </c>
      <c r="E13" s="45">
        <f t="shared" si="2"/>
        <v>2328810.87</v>
      </c>
      <c r="F13" s="44">
        <f t="shared" si="2"/>
        <v>9716603.0099999998</v>
      </c>
      <c r="G13" s="38"/>
      <c r="H13" s="46">
        <f>SUM(H7:H12)</f>
        <v>21018557.950000003</v>
      </c>
      <c r="I13" s="38"/>
      <c r="J13" s="44">
        <f>SUM(J7:J12)</f>
        <v>30735160.960000001</v>
      </c>
    </row>
    <row r="14" spans="1:11" ht="15" thickTop="1">
      <c r="A14" s="31"/>
      <c r="B14" s="31"/>
      <c r="C14" s="31"/>
      <c r="D14" s="31"/>
      <c r="E14" s="31"/>
      <c r="F14" s="31"/>
      <c r="G14" s="31"/>
      <c r="H14" s="47"/>
      <c r="I14" s="31"/>
      <c r="J14" s="31"/>
    </row>
    <row r="15" spans="1:11">
      <c r="A15" s="48" t="s">
        <v>87</v>
      </c>
      <c r="B15" s="31"/>
      <c r="C15" s="31"/>
      <c r="D15" s="31"/>
      <c r="E15" s="31"/>
      <c r="F15" s="31"/>
      <c r="G15" s="31"/>
      <c r="H15" s="31"/>
      <c r="I15" s="31"/>
      <c r="J15" s="31"/>
    </row>
  </sheetData>
  <mergeCells count="4">
    <mergeCell ref="B5:F5"/>
    <mergeCell ref="A1:J1"/>
    <mergeCell ref="A2:J2"/>
    <mergeCell ref="A3:J3"/>
  </mergeCells>
  <phoneticPr fontId="36" type="noConversion"/>
  <pageMargins left="0.7" right="0.7" top="0.75" bottom="0.75" header="0.3" footer="0.3"/>
  <pageSetup scale="94" orientation="portrait"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33"/>
  <sheetViews>
    <sheetView zoomScaleNormal="100" workbookViewId="0">
      <selection activeCell="A45" sqref="A45"/>
    </sheetView>
  </sheetViews>
  <sheetFormatPr defaultColWidth="9.109375" defaultRowHeight="13.2"/>
  <cols>
    <col min="1" max="1" width="57.109375" style="17" customWidth="1"/>
    <col min="2" max="2" width="2.6640625" style="17" customWidth="1"/>
    <col min="3" max="3" width="20.33203125" style="17" customWidth="1"/>
    <col min="4" max="4" width="3.44140625" style="17" bestFit="1" customWidth="1"/>
    <col min="5" max="5" width="9.109375" style="17"/>
    <col min="6" max="6" width="11.33203125" style="17" bestFit="1" customWidth="1"/>
    <col min="7" max="7" width="10.5546875" style="17" bestFit="1" customWidth="1"/>
    <col min="8" max="16384" width="9.109375" style="17"/>
  </cols>
  <sheetData>
    <row r="1" spans="1:4">
      <c r="A1" s="463" t="s">
        <v>0</v>
      </c>
      <c r="B1" s="463"/>
      <c r="C1" s="463"/>
    </row>
    <row r="2" spans="1:4">
      <c r="A2" s="463" t="s">
        <v>687</v>
      </c>
      <c r="B2" s="463"/>
      <c r="C2" s="463"/>
    </row>
    <row r="3" spans="1:4">
      <c r="A3" s="464" t="s">
        <v>660</v>
      </c>
      <c r="B3" s="463"/>
      <c r="C3" s="463"/>
    </row>
    <row r="6" spans="1:4">
      <c r="A6" s="297" t="s">
        <v>695</v>
      </c>
      <c r="B6" s="297"/>
      <c r="C6" s="364">
        <f>-'WP 8a'!H20</f>
        <v>2613313.2799999998</v>
      </c>
      <c r="D6" s="19" t="s">
        <v>136</v>
      </c>
    </row>
    <row r="7" spans="1:4">
      <c r="C7" s="356"/>
    </row>
    <row r="8" spans="1:4">
      <c r="A8" s="362" t="s">
        <v>1</v>
      </c>
      <c r="B8" s="18"/>
      <c r="C8" s="363">
        <v>199159.31999999998</v>
      </c>
    </row>
    <row r="9" spans="1:4">
      <c r="A9" s="362" t="s">
        <v>608</v>
      </c>
      <c r="B9" s="18"/>
      <c r="C9" s="363">
        <v>11439385.85</v>
      </c>
    </row>
    <row r="10" spans="1:4">
      <c r="A10" s="362" t="s">
        <v>2</v>
      </c>
      <c r="B10" s="18"/>
      <c r="C10" s="363">
        <v>316234.70000000013</v>
      </c>
    </row>
    <row r="11" spans="1:4">
      <c r="A11" s="362" t="s">
        <v>3</v>
      </c>
      <c r="B11" s="18"/>
      <c r="C11" s="363">
        <v>1832675.630000002</v>
      </c>
    </row>
    <row r="12" spans="1:4">
      <c r="A12" s="362" t="s">
        <v>4</v>
      </c>
      <c r="B12" s="18"/>
      <c r="C12" s="363">
        <v>5811196.7199999979</v>
      </c>
    </row>
    <row r="13" spans="1:4">
      <c r="A13" s="362" t="s">
        <v>609</v>
      </c>
      <c r="B13" s="18"/>
      <c r="C13" s="363">
        <v>3875.14</v>
      </c>
    </row>
    <row r="14" spans="1:4">
      <c r="A14" s="362" t="s">
        <v>610</v>
      </c>
      <c r="B14" s="18"/>
      <c r="C14" s="363">
        <v>293795.28999999998</v>
      </c>
    </row>
    <row r="15" spans="1:4">
      <c r="A15" s="362" t="s">
        <v>611</v>
      </c>
      <c r="B15" s="18"/>
      <c r="C15" s="363">
        <v>12575.08</v>
      </c>
    </row>
    <row r="16" spans="1:4">
      <c r="A16" s="362" t="s">
        <v>612</v>
      </c>
      <c r="B16" s="18"/>
      <c r="C16" s="363">
        <v>724635.9</v>
      </c>
    </row>
    <row r="17" spans="1:7">
      <c r="A17" s="362" t="s">
        <v>11</v>
      </c>
      <c r="B17" s="18"/>
      <c r="C17" s="363">
        <v>502623.28</v>
      </c>
    </row>
    <row r="18" spans="1:7">
      <c r="A18" s="362" t="s">
        <v>5</v>
      </c>
      <c r="B18" s="18"/>
      <c r="C18" s="363">
        <v>87976.889999999985</v>
      </c>
    </row>
    <row r="19" spans="1:7">
      <c r="A19" s="362" t="s">
        <v>6</v>
      </c>
      <c r="B19" s="18"/>
      <c r="C19" s="363">
        <v>521110.08999999979</v>
      </c>
    </row>
    <row r="20" spans="1:7">
      <c r="A20" s="362" t="s">
        <v>7</v>
      </c>
      <c r="B20" s="18"/>
      <c r="C20" s="363">
        <v>20001.329999999994</v>
      </c>
    </row>
    <row r="21" spans="1:7">
      <c r="A21" s="362" t="s">
        <v>8</v>
      </c>
      <c r="B21" s="18"/>
      <c r="C21" s="363">
        <v>30923.289999999994</v>
      </c>
    </row>
    <row r="22" spans="1:7">
      <c r="A22" s="362" t="s">
        <v>9</v>
      </c>
      <c r="B22" s="18"/>
      <c r="C22" s="363">
        <v>30781.399999999994</v>
      </c>
    </row>
    <row r="23" spans="1:7">
      <c r="A23" s="362" t="s">
        <v>10</v>
      </c>
      <c r="B23" s="18"/>
      <c r="C23" s="363">
        <v>490914.26000000007</v>
      </c>
    </row>
    <row r="24" spans="1:7">
      <c r="A24" s="362" t="s">
        <v>613</v>
      </c>
      <c r="B24" s="18"/>
      <c r="C24" s="363">
        <v>1813.9900000000002</v>
      </c>
    </row>
    <row r="25" spans="1:7" ht="13.8" thickBot="1">
      <c r="A25" s="347" t="s">
        <v>699</v>
      </c>
      <c r="C25" s="348">
        <f>SUM(C8:C24)</f>
        <v>22319678.159999993</v>
      </c>
      <c r="D25" s="19" t="s">
        <v>618</v>
      </c>
      <c r="F25" s="20"/>
      <c r="G25" s="20"/>
    </row>
    <row r="26" spans="1:7" ht="13.8" thickTop="1"/>
    <row r="27" spans="1:7">
      <c r="A27" s="297" t="s">
        <v>693</v>
      </c>
    </row>
    <row r="28" spans="1:7" ht="55.5" customHeight="1">
      <c r="A28" s="465" t="s">
        <v>694</v>
      </c>
      <c r="B28" s="465"/>
      <c r="C28" s="465"/>
    </row>
    <row r="29" spans="1:7">
      <c r="A29" s="462" t="s">
        <v>700</v>
      </c>
      <c r="B29" s="462"/>
      <c r="C29" s="462"/>
    </row>
    <row r="30" spans="1:7">
      <c r="A30" s="462" t="s">
        <v>698</v>
      </c>
      <c r="B30" s="462"/>
      <c r="C30" s="462"/>
    </row>
    <row r="33" spans="1:1">
      <c r="A33" s="298"/>
    </row>
  </sheetData>
  <mergeCells count="6">
    <mergeCell ref="A30:C30"/>
    <mergeCell ref="A29:C29"/>
    <mergeCell ref="A1:C1"/>
    <mergeCell ref="A2:C2"/>
    <mergeCell ref="A3:C3"/>
    <mergeCell ref="A28:C28"/>
  </mergeCells>
  <phoneticPr fontId="36" type="noConversion"/>
  <pageMargins left="0.7" right="0.7" top="0.75" bottom="0.75" header="0.3" footer="0.3"/>
  <pageSetup orientation="portrait"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Index</vt:lpstr>
      <vt:lpstr>WP 1</vt:lpstr>
      <vt:lpstr>WP 2</vt:lpstr>
      <vt:lpstr>WP 3</vt:lpstr>
      <vt:lpstr>WP 4</vt:lpstr>
      <vt:lpstr>WP 5</vt:lpstr>
      <vt:lpstr>WP 6</vt:lpstr>
      <vt:lpstr>WP 7</vt:lpstr>
      <vt:lpstr>WP 8</vt:lpstr>
      <vt:lpstr>WP 8a</vt:lpstr>
      <vt:lpstr>WP 9</vt:lpstr>
      <vt:lpstr>WP 10</vt:lpstr>
      <vt:lpstr>WP 10a</vt:lpstr>
      <vt:lpstr>WP 11</vt:lpstr>
      <vt:lpstr>WP 12</vt:lpstr>
      <vt:lpstr>WP 13</vt:lpstr>
      <vt:lpstr>WP 13a</vt:lpstr>
      <vt:lpstr>WP 14</vt:lpstr>
      <vt:lpstr>WP 15</vt:lpstr>
      <vt:lpstr>WP 16</vt:lpstr>
      <vt:lpstr>WP 17</vt:lpstr>
      <vt:lpstr>'WP 1'!Print_Area</vt:lpstr>
      <vt:lpstr>'WP 10'!Print_Area</vt:lpstr>
      <vt:lpstr>'WP 10a'!Print_Area</vt:lpstr>
      <vt:lpstr>'WP 13'!Print_Area</vt:lpstr>
      <vt:lpstr>'WP 13a'!Print_Area</vt:lpstr>
      <vt:lpstr>'WP 8a'!Print_Area</vt:lpstr>
    </vt:vector>
  </TitlesOfParts>
  <Company>Entergy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atucke6</dc:creator>
  <cp:lastModifiedBy>lsande2</cp:lastModifiedBy>
  <cp:lastPrinted>2014-05-25T01:00:59Z</cp:lastPrinted>
  <dcterms:created xsi:type="dcterms:W3CDTF">2013-05-17T18:23:21Z</dcterms:created>
  <dcterms:modified xsi:type="dcterms:W3CDTF">2014-05-30T15:22:20Z</dcterms:modified>
</cp:coreProperties>
</file>